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rojekty_Holý\2022\Práčata\Práčata 3\PD\I. etapa\D Dokumentace objektu\RD 56\"/>
    </mc:Choice>
  </mc:AlternateContent>
  <bookViews>
    <workbookView xWindow="-19320" yWindow="-3375" windowWidth="19440" windowHeight="15000"/>
  </bookViews>
  <sheets>
    <sheet name="List1" sheetId="1" r:id="rId1"/>
    <sheet name="List2" sheetId="2" r:id="rId2"/>
    <sheet name="List3" sheetId="3" r:id="rId3"/>
  </sheets>
  <definedNames>
    <definedName name="_xlnm.Print_Titles" localSheetId="0">List1!$6:$8</definedName>
    <definedName name="_xlnm.Print_Area" localSheetId="0">List1!$B$1:$H$72</definedName>
    <definedName name="Print_Titles" localSheetId="0">List1!$6:$8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2" i="1" l="1"/>
  <c r="F59" i="1"/>
  <c r="F60" i="1"/>
  <c r="F61" i="1"/>
  <c r="F62" i="1"/>
  <c r="F63" i="1"/>
  <c r="F64" i="1"/>
  <c r="F65" i="1"/>
  <c r="F66" i="1"/>
  <c r="F68" i="1"/>
  <c r="F69" i="1"/>
  <c r="F70" i="1"/>
  <c r="F49" i="1" l="1"/>
  <c r="F47" i="1"/>
  <c r="F43" i="1"/>
  <c r="F42" i="1"/>
  <c r="F36" i="1"/>
  <c r="F34" i="1"/>
  <c r="G34" i="1"/>
  <c r="F32" i="1"/>
  <c r="F30" i="1"/>
  <c r="G30" i="1"/>
  <c r="F28" i="1"/>
  <c r="F26" i="1"/>
  <c r="F24" i="1"/>
  <c r="F13" i="1"/>
  <c r="F10" i="1" l="1"/>
  <c r="F51" i="1" l="1"/>
  <c r="F56" i="1"/>
  <c r="F57" i="1"/>
  <c r="F52" i="1"/>
  <c r="F54" i="1"/>
  <c r="F53" i="1"/>
  <c r="G66" i="1" l="1"/>
  <c r="G25" i="1"/>
  <c r="G61" i="1" l="1"/>
  <c r="G60" i="1"/>
  <c r="G62" i="1"/>
  <c r="G17" i="1"/>
  <c r="G14" i="1"/>
  <c r="F25" i="1"/>
  <c r="G65" i="1"/>
  <c r="G64" i="1"/>
  <c r="G63" i="1"/>
  <c r="G50" i="1" l="1"/>
  <c r="G48" i="1"/>
  <c r="G46" i="1"/>
  <c r="G45" i="1"/>
  <c r="G39" i="1" l="1"/>
  <c r="G38" i="1"/>
  <c r="G41" i="1"/>
  <c r="G40" i="1"/>
  <c r="G44" i="1"/>
  <c r="G35" i="1"/>
  <c r="G33" i="1"/>
  <c r="G31" i="1"/>
  <c r="G23" i="1" l="1"/>
  <c r="G20" i="1"/>
  <c r="G18" i="1"/>
  <c r="G16" i="1"/>
  <c r="G15" i="1"/>
  <c r="G12" i="1"/>
  <c r="F20" i="1"/>
  <c r="F12" i="1"/>
  <c r="F15" i="1"/>
  <c r="F14" i="1" l="1"/>
  <c r="F16" i="1"/>
  <c r="F31" i="1"/>
  <c r="F17" i="1" l="1"/>
  <c r="F18" i="1"/>
  <c r="F50" i="1" l="1"/>
  <c r="F48" i="1"/>
  <c r="F44" i="1"/>
  <c r="F23" i="1"/>
  <c r="F45" i="1" l="1"/>
  <c r="F35" i="1"/>
  <c r="F38" i="1"/>
  <c r="F46" i="1" s="1"/>
  <c r="F40" i="1"/>
  <c r="F39" i="1"/>
  <c r="F33" i="1"/>
  <c r="F41" i="1" l="1"/>
</calcChain>
</file>

<file path=xl/sharedStrings.xml><?xml version="1.0" encoding="utf-8"?>
<sst xmlns="http://schemas.openxmlformats.org/spreadsheetml/2006/main" count="232" uniqueCount="179">
  <si>
    <t>Název položky</t>
  </si>
  <si>
    <t>kus</t>
  </si>
  <si>
    <t>hod</t>
  </si>
  <si>
    <t>Poznámka položky, technická, technologická specifikace, komentář k položce</t>
  </si>
  <si>
    <t>MJ</t>
  </si>
  <si>
    <t>Ostatní náklady stavby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</si>
  <si>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</si>
  <si>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Výkaz výměr</t>
  </si>
  <si>
    <t>m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</si>
  <si>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</si>
  <si>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Název stavby:</t>
  </si>
  <si>
    <t>Číslo položky</t>
  </si>
  <si>
    <t>Zadavatel:</t>
  </si>
  <si>
    <t>agreg.</t>
  </si>
  <si>
    <t>Č.</t>
  </si>
  <si>
    <t>Množství celkem</t>
  </si>
  <si>
    <t>Geodetické práce před výstavbou</t>
  </si>
  <si>
    <t>soubor</t>
  </si>
  <si>
    <t>Vybavení staveniště, přenosné zdroje, zabezpečení staveniště, sociální zařízení, včetně jeho odstranění</t>
  </si>
  <si>
    <t>Jednotná dodávka prací</t>
  </si>
  <si>
    <t>Zaměření a vytýčení inženýrsých sítí, projektovaných ploch a linií stavby.</t>
  </si>
  <si>
    <t>Jednotná dodávka prací, dáno vyhláškou</t>
  </si>
  <si>
    <t>Plocha potřebná k zařízení staveniště.</t>
  </si>
  <si>
    <t>Geodetické práce po výstavbě</t>
  </si>
  <si>
    <t>Projektová dokumentace skutečného provedení stavby - DSPS</t>
  </si>
  <si>
    <t>Zaměření skutečného stavu.</t>
  </si>
  <si>
    <t>Nátěr kotevních prvků kompozitní pryskyřicí na bázi polymerů, barva dle skal. podkladu. Hustota 1,1421 g/cm³, obsah celkového org. uhlíku 0,336 kg/kg.</t>
  </si>
  <si>
    <t>Přípravné a přidružené práce a dočasné zajištění staveniště</t>
  </si>
  <si>
    <t>Geotechnický dozor stavby</t>
  </si>
  <si>
    <t>Kontrola provádění prací a přímá koordinace postupu a reakce na geotechnické podmínky stavby. Zodpovědná osoba splňující kvalifikační předpoklady geotechnického dozoru.</t>
  </si>
  <si>
    <t>Očištění skalních ploch horolezeckou technikou - odstr. keřů a stromů do pr. 10 cm vč. stažení k zemi, odklizení na hromady na vzd. do 50 m nebo naložení na dopravní prostředek</t>
  </si>
  <si>
    <t>Zhotovení nátěru ocelových konstrukcí třídy I, jednosložkového, krycího (vrchního), tloušťky do 40 μm</t>
  </si>
  <si>
    <t>Montáž ocelového lana pro uchycení sítě, prováděná horolezeckou technikou, pr. do 10 mm</t>
  </si>
  <si>
    <t>t</t>
  </si>
  <si>
    <t>Název části:</t>
  </si>
  <si>
    <t xml:space="preserve">Montáž ocelové sítě na skalní stěnu prováděná horolezeckou technikou   </t>
  </si>
  <si>
    <t>012103000</t>
  </si>
  <si>
    <t>012303000</t>
  </si>
  <si>
    <t>013254000</t>
  </si>
  <si>
    <t>041503000</t>
  </si>
  <si>
    <t>030001000</t>
  </si>
  <si>
    <t>Přesná specifikace materiálů a postupu prací viz vyhl. č. 405/2017 Sb.</t>
  </si>
  <si>
    <t>Pokládka ochranných gumových plátů, včetně jejich odstranění po dokončení stavby</t>
  </si>
  <si>
    <t>mden</t>
  </si>
  <si>
    <t>Montáž ochranného ohrazení trubkového nebo dílcového na vnějších stranách objektů s hl. pádu do 6 m</t>
  </si>
  <si>
    <t>Demontáž záchytného ohrazení trubkového nebo dílcového na vnějších stranách objektů s hl. pádu do 6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</si>
  <si>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</si>
  <si>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</si>
  <si>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</si>
  <si>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</si>
  <si>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</si>
  <si>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</si>
  <si>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</si>
  <si>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Odstranění vegetace, očištění, odtěžení a obnova aku. prostoru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</si>
  <si>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</si>
  <si>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</si>
  <si>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Ochranný plot výšky do 2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</si>
  <si>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</si>
  <si>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</si>
  <si>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</si>
  <si>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>Trny z oceli prováděné horolezeckou technikou, s okem z betonářské oceli pro uchycení lana při montáži sítí a sloupků záchytného plotu, zainjektované cem. maltou, délky do 3 m, průměru přes 20 do 26 mm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</si>
  <si>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</si>
  <si>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</si>
  <si>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 hmot pro piloty, kůly, jehly, zápory, štětové nebo tabulové stěny ocelové nebo dřevěné, zřizované z terénu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</si>
  <si>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</si>
  <si>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</si>
  <si>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</si>
  <si>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</si>
  <si>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Přesuny hmot</t>
  </si>
  <si>
    <t>Demontáž ochranného trubkového ohrazení po dokončení stavby.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</si>
  <si>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</si>
  <si>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Demontáž ochranné kompozitní sítě po dokončení stavby.</t>
  </si>
  <si>
    <t>02 01 03: Smýcené stromy a keře, odpady nekontaminované. Zákonný poplatek za skládkovné.</t>
  </si>
  <si>
    <t>Montáž pásů ocelové sítě, včetně rozvinutí a vytažení na skalní stěnu, jejich spojení předepsaným spojovacím materiálem, včetně jeho dodání a přitažení podložek a matic na ocelové trny.</t>
  </si>
  <si>
    <t>Montáž ocelových lan pro vlastní uchycení sítě a vzájemné spojení jednotlivých pásů sítě, včetně manipulace s lanem, montáže a dodání spojovacího materiálu.</t>
  </si>
  <si>
    <t>Ocelové Zn lano min. ø 10 mm, šestipramenné, 114 drátů (6 x 19 WSC) pozinkované, min. 1 770 Mpa, jmenovitá únosnost lana 62,91 kN.</t>
  </si>
  <si>
    <t>Nakládání vyzískaného materiálu, který nemá v ceně započtenou nakládku.</t>
  </si>
  <si>
    <t>Vodorovná doprava suti na skládku se složením hrub. urovnáním na vzdálenost 1 km.</t>
  </si>
  <si>
    <t>17 05 04: Zemina a kamení, odpady nekontaminované. Zákonný poplatek za skládkovné.</t>
  </si>
  <si>
    <t>Realizace vrtů pro kotevní prvky. Vrtání pneumatickými kladivy s výplachem vzduchem.</t>
  </si>
  <si>
    <t>Realizace vrtů pro sloupy plotu. Vrtání průběžným sacím vrtáním.</t>
  </si>
  <si>
    <t>Ve výjimečných případech budou sloupy osazeny do základ. patek anebo kombinace vrtu a patky. Jedná se o místa realizace sl. v zemním svahu, mělkém kvartér. krytu anebo kde se předpokládá rychlé zvětrání skal. svahu.</t>
  </si>
  <si>
    <t>Kotvení plotu bude realizováno kolmo ke skalnímu svahu pomocí ocelového lana min. ø 10 mm přes kotevní prvek s kovaným okem, z oceli B500, min ø 25 mm, délky min. 1,1 m do vrtu anebo do základové patky. Kotven bude každý druhý sloup.</t>
  </si>
  <si>
    <t>Nátěr kotevních prvků a sloupů kompozitní pryskyřicí na bázi polymerů, barva dle skal. podkladu. Hustota 1,1421 g/cm³, obsah celkového org. uhlíku 0,336 kg/kg.</t>
  </si>
  <si>
    <t>Dvouzákrutová síť ZnAl, oko 60 x 80 mm, drát pr. 2,2 mm</t>
  </si>
  <si>
    <t>Montáž pletiva na sloupy, včetně přivázání pletiva ke sloupům vázacím drátem, včetně jeho dodání.</t>
  </si>
  <si>
    <t>Montáž ztužujících lan k pletivu, včetně manipulace s lanem, montáže a dodání spojovacího materiálu.</t>
  </si>
  <si>
    <t>tkm</t>
  </si>
  <si>
    <t>Příplatek za první a každý další den použití ohrazení</t>
  </si>
  <si>
    <t>Základové patky z betonu C25/30 XC2, rozměru 0,35 x 0,35 x 0,8 m.</t>
  </si>
  <si>
    <t>Pokácení stromu v celku s odřezáním kmene a s odvětvením. Dřevní hmota bude odvezena na skládku odpadu nebo na místo trvalého uložení.</t>
  </si>
  <si>
    <t>K odstranění kořenů bude použito mechanických, ne chemických (herbicidních) prostředků. Použití herbicidních prostředků je zcela vyloučeno. Dřevní hmota bude odvezena na skládku odpadu nebo na místo trvalého uložení.</t>
  </si>
  <si>
    <t>Odstranění vegetace, náletu a křovin ze svahu v částečné ploše půdorysně dané obvodem stavby.</t>
  </si>
  <si>
    <t>Během realizace bude dřevní hmota na místě zpracována štěpkováním a odvezena na skládku odpadu nebo na místo trvalého uložení.</t>
  </si>
  <si>
    <t>Odstranění volných částí a bloků do hloubky max. 0,35 m. Bude realizováno horolezeckým způsobem, pomocí ručního nářadí či lokálně pomocí pneumatického nářadí. Odtěžené hmoty budou odvezeny na skládku odpadu nebo na místo trvalého uložení.</t>
  </si>
  <si>
    <t>Dolamování určených nestabilních bloků v rozsahu určeném projektantem, pomocí ručního a pneumatického nářadí. Odtěžené hmoty budou odvezeny na skládku odpadu nebo na místo trvalého uložení.</t>
  </si>
  <si>
    <t>Vyčištění akumulačního prostoru od stávajících napadávek zvětralé horniny a organických zbytků. Realizováno pomocí ruční a strojní odkopávky. Odtěžené hmoty budou odvezeny na skládku odpadu nebo na místo trvalého uložení.</t>
  </si>
  <si>
    <t>Celozávitové kotevní tyče z oceli B500, min. ø 25 mm, dl. min. 1,1 m s kovaným okem pro uchycení lana při montáži sloupů záchytného plotu. Kované oko průměr min. 110 mm, délka oka min. 0,35 m.</t>
  </si>
  <si>
    <t>Realizace kotevní zálivky aktivovanými směsmi s ruční přípravou a aktivací na místě. Pro tento účel bude použitý cement CEMII/B-M (V-LL) 32,5 R.</t>
  </si>
  <si>
    <t>Vnitrostaveništní manipulace a přesuny ocelových sítí, kotevních prvků, ocelových lan, sloupů plotů, dynamických bariér a betonu.</t>
  </si>
  <si>
    <t>Sanace skalního řícení v ulici Práčata, Městská část Brno-Bosonohy - opakovaná II.</t>
  </si>
  <si>
    <t>Statutární město Brno, Dominikánské nám. 196/1, Brno 602 00</t>
  </si>
  <si>
    <t>Gumenné pláty, které budou chránit dlažbu nádvoří před mechanickým poškozením, případným pádem horniny. Za realizaci a také odstranění po dokončení stavby je zodpovědný dodavatel sanačních prací.</t>
  </si>
  <si>
    <t>Rozebrání oplocení z drátěného pletiva se čtvercovými oky výšky do 2,0 m</t>
  </si>
  <si>
    <t>Demontáž plotu (ocelové pletivo)</t>
  </si>
  <si>
    <t>Montáž oplocení ze strojového pletiva bez napínacích drátů výšky do 2,0 m</t>
  </si>
  <si>
    <t>Obnovení demontovaného plotu (ocelové pletivo a sloupky)</t>
  </si>
  <si>
    <t>Dočasná ochranná konstrukce, na kterou budou vyvěšeny kompozitní sítě. Za realizaci a také odstranění po dokončení stavby je zodpovědný dodavatel sanačních prací.</t>
  </si>
  <si>
    <t>Dočasná ochranná konstrukce z kompozitní sítě výšky 1.5 m. Jedná se o ocel. síť 60 x 80 mm z drátu ø 2,2 mm, doplněné o textilní PA sítě s okem 35 - 100 mm ze šňůry ø 3,5 mm. Kompozitní síť bude podélně ztužena ocel. lany. Za realizaci a také odstranění po dokončení stavby je zodpovědný dodavatel sanačních prací.</t>
  </si>
  <si>
    <t>Demontáž stávající krytiny přístřešku.</t>
  </si>
  <si>
    <t>Opětovná montáž původní krytiny na přístřešek po dokončení stavby.</t>
  </si>
  <si>
    <t>V rámci zaměření lokality byli vytipováni 4 kusy nevhodných stromů k odstranění</t>
  </si>
  <si>
    <t>Lano ocelové, šestipramenné 6 x 19 drátů, pozinkované, 1 770 MPa, D 8 mm</t>
  </si>
  <si>
    <t>Lano ocelové, šestipramenné 6 x 19 drátů, pozinkované, 1 770 MPa, D 10 mm</t>
  </si>
  <si>
    <t>Samozávrtné injekční tyče ø 32 mm, dl. min. 3,0 m pro kotvení sítí po obvodu, systémové a nesystémové kotvení. Základní rastr kotvení je 3 x 3 m (podélně x svisle). Každá kotevní tyč bude dodána včetně příslušenství (spojníky, podložka 150 x 150 x 8 mm, matka).</t>
  </si>
  <si>
    <t>Šestiúhelníkové pletivo s dvojím zákrutem a okem 80 x 100 mm + PP rohož s výrobně podélně vpleteným lanem ø 8 mm, po 1,0 m. Drát sítě min. ø 2,7 mm, tah. pevnost 380 - 550 Mpa. Antikorozní úprava Zn+Al.</t>
  </si>
  <si>
    <t>Dvouzákrutová síť ZnAl s výrobně vpleteným lanem pr. 8 mm po 1,0 m, oko 80 x 100 mm, drát pr. 2,7 mm</t>
  </si>
  <si>
    <t>Ocelové Zn lano min. ø 8 mm, šestipramenné, 114 drátů (6 x 19 WSC) pozinkované, min. 1 770 MPa, jmenovitá únosnost lana 39,61 kN.</t>
  </si>
  <si>
    <t>Ocelové Zn lano min. ø 10 mm, šestipramenné, 114 drátů (6 x 19 WSC) pozinkované, min. 1 770 MPa, jmenovitá únosnost lana 62,91 kN.</t>
  </si>
  <si>
    <t>Ukotvení sloupků lany, včetně dodání spojovacího materiálu a šestipramenného ocel. lana 6 x 19 drátů, pozinkovaného, 1 770 MPa, pr. do 10 mm</t>
  </si>
  <si>
    <t>Sloupky plotu budou z ocelových trubek ø 76/6,3 mm, délky 3 m. Sloupky budou mít zavařenou hlavu a budou mít navařený oka pro vedení hlavního horního a dolního lana. Hl. založení bude min. 1/3 dl. sloupku.</t>
  </si>
  <si>
    <t>Injektování aktivovanými směsmi, vzestupné, tlakem do 0,6 MPa</t>
  </si>
  <si>
    <t>Šestiúhelníkové pletivo s dvojím zákrutem a okem 60 x 80 mm. Drát sítě min. ø 2,2 mm, tah. pevnost 380 - 550 MPa. Antikorozní úprava žárovým pokovením drátu HZn.</t>
  </si>
  <si>
    <t>Demontáž krytiny z polykarbonátových vlnitých, trapézových desek sklonu střechy do 15°</t>
  </si>
  <si>
    <t>Montáž krytiny z polykarbonátových desek vlnitých sklon střechy do 15°</t>
  </si>
  <si>
    <t>Odkopávky a prokopávky v hornině třídy těžitelnosti I, skupiny 3 ručně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</si>
  <si>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</si>
  <si>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Vodorovné přemístění výkopku z horniny třídy těžitelnosti I skupiny 1 až 3 stavebním kolečkem do 10 m</t>
  </si>
  <si>
    <t>Vnitrostaveništní přesun vyzískaného materiálu.</t>
  </si>
  <si>
    <t>Předpokládaná vzdálenost odvozu materiálu na skládku je 13,1 km.</t>
  </si>
  <si>
    <t>Předpokládaná vzdálenost odvozu materiálu do kontejneru je 20 m.</t>
  </si>
  <si>
    <t>Příplatek k vodorovnému přemístění výkopku z horniny třídy těžitelnosti I skupiny 1 až 3 stavebním kolečkem za každých dalších 10 m</t>
  </si>
  <si>
    <r>
      <t>(Pol. č. 19 x dl. kotev. prvku 3,0 m x hmot. mb tyče 0,0036 t) +(pol. č. 32 x dl. kotev. prvku 1,1 m x hmot. mb tyče 0,00385 t) + (pol. č. 36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0,00118 t) + (pol. č. 22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0,00183 t) + (pol. č 24 x hmot. mb lana 0,00021 t) + ((pol. č. 25 + 38) x hmot. mb lana 0,00032 t) + (pol. č. 30 x dl. sloupu 3 m x hmot. mb sloupu 0,0108 t) + (pol. č. 29 x prům. obj. hmot. betonu 2,3 t/m³)</t>
    </r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</si>
  <si>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</si>
  <si>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</si>
  <si>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</si>
  <si>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r>
      <t>Dozor geotechnika zhotovitele k provádění prací v rozsahu 40</t>
    </r>
    <r>
      <rPr>
        <sz val="9"/>
        <rFont val="Calibri"/>
        <family val="2"/>
        <charset val="238"/>
        <scheme val="minor"/>
      </rPr>
      <t xml:space="preserve"> hodin</t>
    </r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</si>
  <si>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</si>
  <si>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</si>
  <si>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</si>
  <si>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</si>
  <si>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</si>
  <si>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</si>
  <si>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</si>
  <si>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</si>
  <si>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</si>
  <si>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</si>
  <si>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Ve výjimečných případech budou sl. osazeny do základ. patek anebo kombinace vrtu a patky. Jedná se o místa realizace sl. v zemním svahu, mělkém kvartér. krytu anebo kde se předpokládá rychlé zvětrání skal. svahu.</t>
  </si>
  <si>
    <t>Sloupky a vzpěry budou osazeny do základových patek z betonu C 20/25, rozměru 0,3 x 0,3 x 0,7 m.</t>
  </si>
  <si>
    <t>Vzpěry pro sloupky plotu budou z ocelových trubek ø 42/1,5 mm, délky 1,5 m. Sloupky budou zelené barvy s úpravou  Zn+PVC a včetně spojovacího materiálu.</t>
  </si>
  <si>
    <t>Oplocení bude v celkové délce 106 m, ze strojového pletiva s napínacími dráty, do 15° sklonu svahu, výšky 2 m.</t>
  </si>
  <si>
    <t>Plotové pletivo bude v úpravě Zn+PVC, se zapleteným napínacím drátem, výšky 2 m, oko 50 x 50 mm, drát pr. 1,65/2,5 mm, zelené barvy.</t>
  </si>
  <si>
    <t>Rozvinutí, uchycení a napnutí napínacího drátu, v zeleném provedení s úpravou  Zn+PVC. Po výšce pletiva bude provedeno ve třech úrovních.</t>
  </si>
  <si>
    <t>Pol. č. 41 + 42</t>
  </si>
  <si>
    <t>Pol. č. 40 x rozměr patky sloupku 0,3 x 0,3 x 0,7 m</t>
  </si>
  <si>
    <t>Délka plotu 16,5 m / os. vzd. sloupků 2 m + 1 kus; zaokrouhleno na celé kusy</t>
  </si>
  <si>
    <t>Délka plotu 16,5 m / os. vzd. vzpěr 8 m + 1 kus; zaokrouhleno na celé kusy</t>
  </si>
  <si>
    <t>Délka plotu 16,5 m</t>
  </si>
  <si>
    <r>
      <t>Pol. č. 43 x výška plotu 2 m + 20 % ztratné na překryvy a zpět. ohnutí; zaokrouhleno na celé m</t>
    </r>
    <r>
      <rPr>
        <vertAlign val="superscript"/>
        <sz val="9"/>
        <rFont val="Calibri"/>
        <family val="2"/>
        <charset val="238"/>
        <scheme val="minor"/>
      </rPr>
      <t>2</t>
    </r>
  </si>
  <si>
    <t>Pol. č. 43 x 3 kusy napínacího drátu + 20 % ztratné</t>
  </si>
  <si>
    <t>Sloupky plotu budou z ocelových trubek ø 42/1,5 mm, délky 2,6 m. Sloupky budou zelené barvy s úpravou  Zn+PVC a včetně PVC čepiček a příchytů napínacího drátu. Hloubka založení bude cca 1/3 délky sloupku.</t>
  </si>
  <si>
    <t>Pouze u domu č. 58</t>
  </si>
  <si>
    <t>Předpokládaná doba použití je 30 + 31 dní.</t>
  </si>
  <si>
    <t>Na základě odborného odhadu bude v kritických místech odtěženo 2,0 m³</t>
  </si>
  <si>
    <t>Dům č. 56 - nádvoří 4 x 6 m + přístup 1 x 12 m</t>
  </si>
  <si>
    <t>Dům č. 56 - 7 m</t>
  </si>
  <si>
    <t>Pouze u domu č. 54</t>
  </si>
  <si>
    <t>40 % ze (součtová půdorys. pl. 119 m² x koef. sklonu 2.0 x koef. členitosti 1,3)</t>
  </si>
  <si>
    <t>50 % z (půdorys. pl. skal. svahu pro očištění 68,5 m² x koef. sklonu 2.0 x koef. členitosti 1,3) x mocnost 0,35 m</t>
  </si>
  <si>
    <t>Dům č. 56 - dl. 7,8 m x prům. výška napadávky horniny 2,0 m x 2,0 m + dl. 8,5 m x prům. výška napadávky horniny 1,0 m x 1,0 m</t>
  </si>
  <si>
    <t>I. etapa - ul. Práčata č. 56</t>
  </si>
  <si>
    <t>D.1.2.7-1 SOUPIS PRACÍ S VÝKAZEM VÝMĚR A SPECIFIKACÍ MATERIÁLU - RD 56</t>
  </si>
  <si>
    <t>(Součet síťovaných půdorys. pl. 69 m²) x koef. sklonu 2.0 x koef. členitosti 1,3</t>
  </si>
  <si>
    <t>Obvod síťované pl. 59 m x koef. členitosti 1,3 + 20 % ztratné na prořezy, překryvy a zpět. ohnutí</t>
  </si>
  <si>
    <t>Celková dl. plotů (16 m) / osová vzd. sloupů 2 m + 2 ks krajní</t>
  </si>
  <si>
    <t>Celková dl. plotů (16 m) / 4 m každý druhý sloup + 2 ks krajní</t>
  </si>
  <si>
    <t>Celková dl. plotů (16 m) x šířka pásu pletiva 2,0 m</t>
  </si>
  <si>
    <t>Celková dl. plotů (16 m) x 5 ks lan</t>
  </si>
  <si>
    <r>
      <t>(Dům č. 56 - 8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) </t>
    </r>
    <r>
      <rPr>
        <sz val="9"/>
        <rFont val="Calibri"/>
        <family val="2"/>
        <charset val="238"/>
        <scheme val="minor"/>
      </rPr>
      <t>+ (ul. Padělíky - 52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</si>
</sst>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"/>
    <numFmt numFmtId="165" formatCode="* _-#,##0.00&quot; Kč&quot;;* \-#,##0.00&quot; Kč&quot;;* _-\-??&quot; Kč&quot;;@"/>
    <numFmt numFmtId="166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165" fontId="1" fillId="0" borderId="0"/>
    <xf numFmtId="0" fontId="1" fillId="0" borderId="0"/>
    <xf numFmtId="0" fontId="1" fillId="0" borderId="0"/>
    <xf numFmtId="0" fontId="1" fillId="0" borderId="0">
      <alignment vertical="center"/>
    </xf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/>
    <xf numFmtId="0" fontId="3" fillId="0" borderId="11" xfId="3" applyBorder="1">
      <alignment horizontal="left" vertical="center" wrapText="1"/>
    </xf>
    <xf numFmtId="0" fontId="3" fillId="0" borderId="12" xfId="3" applyBorder="1">
      <alignment horizontal="left" vertical="center" wrapText="1"/>
    </xf>
    <xf numFmtId="49" fontId="11" fillId="2" borderId="15" xfId="3" applyNumberFormat="1" applyFont="1" applyFill="1" applyBorder="1" applyAlignment="1" applyProtection="1">
      <alignment horizontal="center" vertical="center"/>
      <protection locked="0"/>
    </xf>
    <xf numFmtId="49" fontId="11" fillId="2" borderId="16" xfId="3" applyNumberFormat="1" applyFont="1" applyFill="1" applyBorder="1" applyAlignment="1" applyProtection="1">
      <alignment horizontal="center" vertical="center"/>
      <protection locked="0"/>
    </xf>
    <xf numFmtId="49" fontId="11" fillId="2" borderId="6" xfId="3" applyNumberFormat="1" applyFont="1" applyFill="1" applyBorder="1" applyAlignment="1" applyProtection="1">
      <alignment horizontal="center" vertical="center"/>
      <protection locked="0"/>
    </xf>
    <xf numFmtId="0" fontId="3" fillId="0" borderId="20" xfId="3" applyBorder="1">
      <alignment horizontal="left" vertical="center" wrapText="1"/>
    </xf>
    <xf numFmtId="164" fontId="4" fillId="2" borderId="5" xfId="5" applyNumberFormat="1" applyFont="1" applyFill="1" applyBorder="1" applyAlignment="1" applyProtection="1">
      <alignment horizontal="center" vertical="center" wrapText="1"/>
    </xf>
    <xf numFmtId="0" fontId="8" fillId="3" borderId="5" xfId="3" applyFont="1" applyFill="1" applyBorder="1" applyAlignment="1"/>
    <xf numFmtId="0" fontId="8" fillId="3" borderId="6" xfId="3" applyFont="1" applyFill="1" applyBorder="1" applyAlignment="1"/>
    <xf numFmtId="49" fontId="11" fillId="2" borderId="5" xfId="3" applyNumberFormat="1" applyFont="1" applyFill="1" applyBorder="1" applyAlignment="1" applyProtection="1">
      <alignment horizontal="center" vertical="center"/>
      <protection locked="0"/>
    </xf>
    <xf numFmtId="0" fontId="3" fillId="0" borderId="19" xfId="3" applyFont="1" applyBorder="1">
      <alignment horizontal="left" vertical="center" wrapText="1"/>
    </xf>
    <xf numFmtId="2" fontId="4" fillId="2" borderId="5" xfId="5" applyNumberFormat="1" applyFont="1" applyFill="1" applyBorder="1" applyAlignment="1" applyProtection="1">
      <alignment vertical="center" wrapText="1"/>
    </xf>
    <xf numFmtId="0" fontId="3" fillId="0" borderId="11" xfId="5" applyFont="1" applyBorder="1" applyAlignment="1">
      <alignment horizontal="center" vertical="center"/>
    </xf>
    <xf numFmtId="0" fontId="3" fillId="0" borderId="11" xfId="5" applyFont="1" applyBorder="1" applyAlignment="1">
      <alignment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vertical="center"/>
    </xf>
    <xf numFmtId="0" fontId="3" fillId="5" borderId="1" xfId="5" applyFont="1" applyFill="1" applyBorder="1" applyAlignment="1">
      <alignment horizontal="left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left" vertical="center" wrapText="1"/>
    </xf>
    <xf numFmtId="0" fontId="3" fillId="0" borderId="14" xfId="5" applyFont="1" applyBorder="1" applyAlignment="1">
      <alignment horizontal="center" vertical="center"/>
    </xf>
    <xf numFmtId="0" fontId="3" fillId="0" borderId="14" xfId="5" applyFont="1" applyBorder="1" applyAlignment="1">
      <alignment vertical="center" wrapText="1"/>
    </xf>
    <xf numFmtId="4" fontId="3" fillId="0" borderId="14" xfId="5" applyNumberFormat="1" applyFont="1" applyBorder="1" applyAlignment="1">
      <alignment vertical="center" wrapText="1"/>
    </xf>
    <xf numFmtId="166" fontId="3" fillId="0" borderId="1" xfId="5" applyNumberFormat="1" applyFont="1" applyBorder="1" applyAlignment="1">
      <alignment vertical="center" wrapText="1"/>
    </xf>
    <xf numFmtId="166" fontId="3" fillId="0" borderId="11" xfId="5" applyNumberFormat="1" applyFont="1" applyBorder="1" applyAlignment="1">
      <alignment vertical="center" wrapText="1"/>
    </xf>
    <xf numFmtId="0" fontId="3" fillId="0" borderId="18" xfId="8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>
      <alignment horizontal="center" vertical="center" wrapText="1"/>
    </xf>
    <xf numFmtId="0" fontId="3" fillId="0" borderId="11" xfId="9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8" xfId="5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vertical="center" wrapText="1"/>
    </xf>
    <xf numFmtId="0" fontId="3" fillId="0" borderId="8" xfId="5" applyFont="1" applyBorder="1" applyAlignment="1">
      <alignment horizontal="center" vertical="center" wrapText="1"/>
    </xf>
    <xf numFmtId="49" fontId="3" fillId="0" borderId="9" xfId="5" applyNumberFormat="1" applyFont="1" applyBorder="1" applyAlignment="1">
      <alignment horizontal="center" vertical="center" wrapText="1"/>
    </xf>
    <xf numFmtId="164" fontId="3" fillId="0" borderId="9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center" vertical="center" wrapText="1"/>
    </xf>
    <xf numFmtId="166" fontId="3" fillId="0" borderId="9" xfId="8" applyNumberFormat="1" applyFont="1" applyBorder="1" applyAlignment="1">
      <alignment vertical="center" wrapText="1"/>
    </xf>
    <xf numFmtId="0" fontId="3" fillId="0" borderId="4" xfId="5" applyFont="1" applyBorder="1" applyAlignment="1">
      <alignment horizontal="center" vertical="center" wrapText="1"/>
    </xf>
    <xf numFmtId="49" fontId="3" fillId="0" borderId="11" xfId="5" applyNumberFormat="1" applyFont="1" applyBorder="1" applyAlignment="1">
      <alignment horizontal="center" vertical="center" wrapText="1"/>
    </xf>
    <xf numFmtId="164" fontId="3" fillId="0" borderId="1" xfId="5" applyNumberFormat="1" applyFont="1" applyBorder="1" applyAlignment="1">
      <alignment vertical="center" wrapText="1"/>
    </xf>
    <xf numFmtId="166" fontId="3" fillId="0" borderId="1" xfId="8" applyNumberFormat="1" applyFont="1" applyBorder="1" applyAlignment="1">
      <alignment vertical="center" wrapText="1"/>
    </xf>
    <xf numFmtId="164" fontId="3" fillId="0" borderId="11" xfId="5" applyNumberFormat="1" applyFont="1" applyBorder="1" applyAlignment="1">
      <alignment vertical="center" wrapText="1"/>
    </xf>
    <xf numFmtId="49" fontId="3" fillId="6" borderId="11" xfId="0" applyNumberFormat="1" applyFont="1" applyFill="1" applyBorder="1" applyAlignment="1">
      <alignment horizontal="center" vertical="center"/>
    </xf>
    <xf numFmtId="0" fontId="3" fillId="0" borderId="12" xfId="6" applyNumberFormat="1" applyFont="1" applyBorder="1" applyAlignment="1">
      <alignment horizontal="left" vertical="center" wrapText="1"/>
    </xf>
    <xf numFmtId="0" fontId="3" fillId="0" borderId="1" xfId="3" applyBorder="1">
      <alignment horizontal="left" vertical="center" wrapText="1"/>
    </xf>
    <xf numFmtId="0" fontId="3" fillId="0" borderId="1" xfId="5" applyFont="1" applyBorder="1" applyAlignment="1">
      <alignment horizontal="left" vertical="center" wrapText="1"/>
    </xf>
    <xf numFmtId="164" fontId="3" fillId="0" borderId="1" xfId="5" applyNumberFormat="1" applyFont="1" applyBorder="1" applyAlignment="1">
      <alignment horizontal="left" vertical="center" wrapText="1"/>
    </xf>
    <xf numFmtId="0" fontId="4" fillId="5" borderId="24" xfId="3" applyFont="1" applyFill="1" applyBorder="1" applyAlignment="1">
      <alignment vertical="center"/>
    </xf>
    <xf numFmtId="0" fontId="4" fillId="5" borderId="25" xfId="3" applyFont="1" applyFill="1" applyBorder="1" applyAlignment="1">
      <alignment vertical="center"/>
    </xf>
    <xf numFmtId="0" fontId="12" fillId="5" borderId="26" xfId="3" applyFont="1" applyFill="1" applyBorder="1" applyAlignment="1">
      <alignment horizontal="right" vertical="center"/>
    </xf>
    <xf numFmtId="0" fontId="12" fillId="5" borderId="0" xfId="3" applyFont="1" applyFill="1" applyBorder="1" applyAlignment="1">
      <alignment horizontal="right" vertical="center"/>
    </xf>
    <xf numFmtId="0" fontId="2" fillId="5" borderId="0" xfId="5" applyFont="1" applyFill="1" applyBorder="1" applyAlignment="1">
      <alignment horizontal="left" vertical="center" wrapText="1"/>
    </xf>
    <xf numFmtId="0" fontId="4" fillId="5" borderId="0" xfId="3" applyFont="1" applyFill="1" applyBorder="1" applyAlignment="1">
      <alignment vertical="center"/>
    </xf>
    <xf numFmtId="0" fontId="4" fillId="5" borderId="27" xfId="3" applyFont="1" applyFill="1" applyBorder="1" applyAlignment="1">
      <alignment vertical="center"/>
    </xf>
    <xf numFmtId="0" fontId="4" fillId="5" borderId="16" xfId="3" applyFont="1" applyFill="1" applyBorder="1" applyAlignment="1">
      <alignment vertical="center"/>
    </xf>
    <xf numFmtId="0" fontId="4" fillId="5" borderId="17" xfId="3" applyFont="1" applyFill="1" applyBorder="1" applyAlignment="1">
      <alignment vertical="center"/>
    </xf>
    <xf numFmtId="0" fontId="3" fillId="0" borderId="11" xfId="5" applyFont="1" applyBorder="1" applyAlignment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9" applyFont="1" applyBorder="1" applyAlignment="1" applyProtection="1">
      <alignment vertical="center" wrapText="1"/>
      <protection locked="0"/>
    </xf>
    <xf numFmtId="166" fontId="3" fillId="0" borderId="9" xfId="0" applyNumberFormat="1" applyFont="1" applyBorder="1" applyAlignment="1" applyProtection="1">
      <alignment horizontal="right" vertical="center"/>
      <protection locked="0"/>
    </xf>
    <xf numFmtId="166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1" xfId="5" applyNumberFormat="1" applyFont="1" applyBorder="1" applyAlignment="1">
      <alignment vertical="center" wrapText="1"/>
    </xf>
    <xf numFmtId="0" fontId="3" fillId="4" borderId="1" xfId="5" applyFont="1" applyFill="1" applyBorder="1" applyAlignment="1">
      <alignment horizontal="center" vertical="center"/>
    </xf>
    <xf numFmtId="4" fontId="3" fillId="4" borderId="14" xfId="5" applyNumberFormat="1" applyFont="1" applyFill="1" applyBorder="1" applyAlignment="1">
      <alignment vertical="center" wrapText="1"/>
    </xf>
    <xf numFmtId="4" fontId="3" fillId="0" borderId="11" xfId="5" applyNumberFormat="1" applyFont="1" applyBorder="1" applyAlignment="1">
      <alignment vertical="center" wrapText="1"/>
    </xf>
    <xf numFmtId="0" fontId="3" fillId="0" borderId="19" xfId="3" applyBorder="1">
      <alignment horizontal="left" vertical="center" wrapText="1"/>
    </xf>
    <xf numFmtId="0" fontId="3" fillId="0" borderId="11" xfId="3" applyFont="1" applyBorder="1">
      <alignment horizontal="left" vertical="center" wrapText="1"/>
    </xf>
    <xf numFmtId="0" fontId="3" fillId="0" borderId="12" xfId="3" applyFont="1" applyBorder="1">
      <alignment horizontal="left" vertical="center" wrapText="1"/>
    </xf>
    <xf numFmtId="0" fontId="3" fillId="0" borderId="20" xfId="3" applyFont="1" applyBorder="1">
      <alignment horizontal="left" vertical="center" wrapText="1"/>
    </xf>
    <xf numFmtId="0" fontId="3" fillId="0" borderId="19" xfId="5" applyFont="1" applyBorder="1" applyAlignment="1">
      <alignment vertical="center" wrapText="1"/>
    </xf>
    <xf numFmtId="0" fontId="3" fillId="7" borderId="12" xfId="6" applyNumberFormat="1" applyFont="1" applyFill="1" applyBorder="1" applyAlignment="1">
      <alignment vertical="center" wrapText="1"/>
    </xf>
    <xf numFmtId="0" fontId="3" fillId="0" borderId="1" xfId="5" applyFont="1" applyBorder="1" applyAlignment="1">
      <alignment vertical="center" wrapText="1"/>
    </xf>
    <xf numFmtId="0" fontId="3" fillId="0" borderId="11" xfId="8" applyFont="1" applyBorder="1" applyAlignment="1">
      <alignment horizontal="center" vertical="center" wrapText="1"/>
    </xf>
    <xf numFmtId="0" fontId="3" fillId="5" borderId="11" xfId="5" applyFont="1" applyFill="1" applyBorder="1" applyAlignment="1">
      <alignment horizontal="center" vertical="center" wrapText="1"/>
    </xf>
    <xf numFmtId="0" fontId="3" fillId="0" borderId="28" xfId="3" applyFont="1" applyBorder="1">
      <alignment horizontal="left" vertical="center" wrapText="1"/>
    </xf>
    <xf numFmtId="164" fontId="4" fillId="2" borderId="15" xfId="5" applyNumberFormat="1" applyFont="1" applyFill="1" applyBorder="1" applyAlignment="1" applyProtection="1">
      <alignment horizontal="center" vertical="center" wrapText="1"/>
    </xf>
    <xf numFmtId="0" fontId="3" fillId="0" borderId="10" xfId="6" applyNumberFormat="1" applyFont="1" applyBorder="1" applyAlignment="1">
      <alignment horizontal="left" vertical="center" wrapText="1"/>
    </xf>
    <xf numFmtId="4" fontId="7" fillId="4" borderId="11" xfId="5" applyNumberFormat="1" applyFont="1" applyFill="1" applyBorder="1" applyAlignment="1">
      <alignment vertical="center" wrapText="1"/>
    </xf>
    <xf numFmtId="4" fontId="7" fillId="4" borderId="19" xfId="5" applyNumberFormat="1" applyFont="1" applyFill="1" applyBorder="1" applyAlignment="1">
      <alignment vertical="center" wrapText="1"/>
    </xf>
    <xf numFmtId="0" fontId="3" fillId="0" borderId="21" xfId="3" applyFont="1" applyBorder="1">
      <alignment horizontal="left" vertical="center" wrapText="1"/>
    </xf>
    <xf numFmtId="0" fontId="3" fillId="0" borderId="10" xfId="3" applyFont="1" applyBorder="1">
      <alignment horizontal="left" vertical="center" wrapText="1"/>
    </xf>
    <xf numFmtId="0" fontId="3" fillId="0" borderId="22" xfId="3" applyFont="1" applyBorder="1">
      <alignment horizontal="left" vertical="center" wrapText="1"/>
    </xf>
    <xf numFmtId="0" fontId="3" fillId="0" borderId="9" xfId="3" applyFont="1" applyBorder="1">
      <alignment horizontal="left" vertical="center" wrapText="1"/>
    </xf>
    <xf numFmtId="0" fontId="3" fillId="0" borderId="2" xfId="3" applyFont="1" applyBorder="1">
      <alignment horizontal="left" vertical="center" wrapText="1"/>
    </xf>
    <xf numFmtId="0" fontId="3" fillId="0" borderId="3" xfId="3" applyFont="1" applyBorder="1">
      <alignment horizontal="left" vertical="center" wrapText="1"/>
    </xf>
    <xf numFmtId="0" fontId="3" fillId="0" borderId="1" xfId="3" applyFont="1" applyBorder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8" xfId="8" applyFont="1" applyFill="1" applyBorder="1" applyAlignment="1">
      <alignment horizontal="center" vertical="center"/>
    </xf>
    <xf numFmtId="0" fontId="3" fillId="5" borderId="1" xfId="5" applyFont="1" applyFill="1" applyBorder="1" applyAlignment="1">
      <alignment horizontal="center" vertical="center" wrapText="1"/>
    </xf>
    <xf numFmtId="0" fontId="3" fillId="0" borderId="18" xfId="8" applyFont="1" applyFill="1" applyBorder="1" applyAlignment="1">
      <alignment horizontal="center" vertical="center"/>
    </xf>
    <xf numFmtId="4" fontId="7" fillId="4" borderId="21" xfId="5" applyNumberFormat="1" applyFont="1" applyFill="1" applyBorder="1" applyAlignment="1">
      <alignment vertical="center" wrapText="1"/>
    </xf>
    <xf numFmtId="0" fontId="3" fillId="0" borderId="13" xfId="5" applyFont="1" applyBorder="1" applyAlignment="1">
      <alignment horizontal="center" vertical="center" wrapText="1"/>
    </xf>
    <xf numFmtId="49" fontId="3" fillId="0" borderId="2" xfId="5" applyNumberFormat="1" applyFont="1" applyBorder="1" applyAlignment="1">
      <alignment horizontal="center" vertical="center" wrapText="1"/>
    </xf>
    <xf numFmtId="164" fontId="3" fillId="0" borderId="2" xfId="5" applyNumberFormat="1" applyFont="1" applyBorder="1" applyAlignment="1">
      <alignment vertical="center" wrapText="1"/>
    </xf>
    <xf numFmtId="0" fontId="3" fillId="0" borderId="2" xfId="5" applyFont="1" applyBorder="1" applyAlignment="1">
      <alignment horizontal="center" vertical="center" wrapText="1"/>
    </xf>
    <xf numFmtId="166" fontId="3" fillId="0" borderId="2" xfId="8" applyNumberFormat="1" applyFont="1" applyBorder="1" applyAlignment="1">
      <alignment vertical="center" wrapText="1"/>
    </xf>
    <xf numFmtId="0" fontId="3" fillId="0" borderId="1" xfId="3" applyFill="1" applyBorder="1">
      <alignment horizontal="left" vertical="center" wrapText="1"/>
    </xf>
    <xf numFmtId="166" fontId="3" fillId="6" borderId="11" xfId="0" applyNumberFormat="1" applyFont="1" applyFill="1" applyBorder="1" applyAlignment="1">
      <alignment vertical="center" wrapText="1"/>
    </xf>
    <xf numFmtId="166" fontId="3" fillId="0" borderId="2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left" vertical="top" wrapText="1"/>
    </xf>
    <xf numFmtId="0" fontId="3" fillId="0" borderId="9" xfId="8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Border="1" applyAlignment="1">
      <alignment vertical="center"/>
    </xf>
    <xf numFmtId="0" fontId="3" fillId="0" borderId="9" xfId="3" applyBorder="1">
      <alignment horizontal="left" vertical="center" wrapText="1"/>
    </xf>
    <xf numFmtId="0" fontId="3" fillId="0" borderId="10" xfId="3" applyBorder="1">
      <alignment horizontal="left" vertical="center" wrapText="1"/>
    </xf>
    <xf numFmtId="0" fontId="3" fillId="0" borderId="12" xfId="5" applyFont="1" applyBorder="1" applyAlignment="1">
      <alignment vertical="center"/>
    </xf>
    <xf numFmtId="0" fontId="3" fillId="0" borderId="3" xfId="5" applyFont="1" applyBorder="1" applyAlignment="1">
      <alignment vertical="center" wrapText="1"/>
    </xf>
    <xf numFmtId="0" fontId="3" fillId="0" borderId="29" xfId="5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4" xfId="3" applyFont="1" applyBorder="1">
      <alignment horizontal="left" vertical="center" wrapText="1"/>
    </xf>
    <xf numFmtId="0" fontId="3" fillId="0" borderId="30" xfId="6" applyNumberFormat="1" applyFont="1" applyBorder="1" applyAlignment="1">
      <alignment horizontal="left" vertical="center" wrapText="1"/>
    </xf>
    <xf numFmtId="0" fontId="3" fillId="0" borderId="11" xfId="5" applyFont="1" applyBorder="1" applyAlignment="1">
      <alignment wrapText="1"/>
    </xf>
    <xf numFmtId="166" fontId="3" fillId="0" borderId="9" xfId="5" applyNumberFormat="1" applyFont="1" applyBorder="1" applyAlignment="1">
      <alignment vertical="center" wrapText="1"/>
    </xf>
    <xf numFmtId="0" fontId="3" fillId="0" borderId="2" xfId="3" applyBorder="1">
      <alignment horizontal="left" vertical="center" wrapText="1"/>
    </xf>
    <xf numFmtId="49" fontId="4" fillId="2" borderId="6" xfId="3" applyNumberFormat="1" applyFont="1" applyFill="1" applyBorder="1" applyAlignment="1" applyProtection="1">
      <alignment horizontal="left" vertical="center"/>
      <protection locked="0"/>
    </xf>
    <xf numFmtId="49" fontId="4" fillId="2" borderId="7" xfId="3" applyNumberFormat="1" applyFont="1" applyFill="1" applyBorder="1" applyAlignment="1" applyProtection="1">
      <alignment horizontal="left" vertical="center"/>
      <protection locked="0"/>
    </xf>
    <xf numFmtId="49" fontId="4" fillId="2" borderId="16" xfId="3" applyNumberFormat="1" applyFont="1" applyFill="1" applyBorder="1" applyAlignment="1" applyProtection="1">
      <alignment horizontal="left" vertical="center"/>
      <protection locked="0"/>
    </xf>
    <xf numFmtId="49" fontId="4" fillId="2" borderId="17" xfId="3" applyNumberFormat="1" applyFont="1" applyFill="1" applyBorder="1" applyAlignment="1" applyProtection="1">
      <alignment horizontal="left" vertical="center"/>
      <protection locked="0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8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5" borderId="23" xfId="3" applyFont="1" applyFill="1" applyBorder="1" applyAlignment="1">
      <alignment horizontal="right" vertical="center"/>
    </xf>
    <xf numFmtId="0" fontId="12" fillId="5" borderId="24" xfId="3" applyFont="1" applyFill="1" applyBorder="1" applyAlignment="1">
      <alignment horizontal="right" vertical="center"/>
    </xf>
    <xf numFmtId="0" fontId="12" fillId="5" borderId="15" xfId="5" applyFont="1" applyFill="1" applyBorder="1" applyAlignment="1">
      <alignment horizontal="right" vertical="center"/>
    </xf>
    <xf numFmtId="0" fontId="12" fillId="5" borderId="16" xfId="5" applyFont="1" applyFill="1" applyBorder="1" applyAlignment="1">
      <alignment horizontal="right" vertical="center"/>
    </xf>
    <xf numFmtId="0" fontId="8" fillId="3" borderId="6" xfId="3" applyFont="1" applyFill="1" applyBorder="1" applyAlignment="1">
      <alignment horizontal="left" vertical="center"/>
    </xf>
    <xf numFmtId="0" fontId="8" fillId="3" borderId="7" xfId="3" applyFont="1" applyFill="1" applyBorder="1" applyAlignment="1">
      <alignment horizontal="left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2" fillId="5" borderId="24" xfId="5" applyFont="1" applyFill="1" applyBorder="1" applyAlignment="1">
      <alignment horizontal="left" vertical="center" wrapText="1"/>
    </xf>
    <xf numFmtId="0" fontId="2" fillId="5" borderId="16" xfId="5" applyFont="1" applyFill="1" applyBorder="1" applyAlignment="1">
      <alignment horizontal="left" vertical="center" wrapText="1"/>
    </xf>
  </cellXfs>
  <cellStyles count="10">
    <cellStyle name="čárky 2" xfId="2"/>
    <cellStyle name="Excel Built-in Currency" xfId="6"/>
    <cellStyle name="Excel Built-in Normal" xfId="5"/>
    <cellStyle name="Excel Built-in Normal 2" xfId="7"/>
    <cellStyle name="Normální" xfId="0" builtinId="0"/>
    <cellStyle name="normální 2" xfId="1"/>
    <cellStyle name="Normální 3 27" xfId="9"/>
    <cellStyle name="normální_POL.XLS" xfId="3"/>
    <cellStyle name="procent 2" xfId="4"/>
    <cellStyle name="TableStyleLight1" xfId="8"/>
  </cellStyles>
  <dxfs count="0"/>
  <tableStyles count="0" defaultTableStyle="TableStyleMedium9" defaultPivotStyle="PivotStyleLight16"/>
  <colors>
    <mruColors>
      <color rgb="FFFFFF66"/>
      <color rgb="FF2DA84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2"/>
  <sheetViews>
    <sheetView tabSelected="1" zoomScaleNormal="100" workbookViewId="0">
      <selection activeCell="F68" sqref="F68:F72"/>
    </sheetView>
  </sheetViews>
  <sheetFormatPr defaultRowHeight="15" x14ac:dyDescent="0.25"/>
  <cols>
    <col min="1" max="1" width="3.140625" customWidth="1"/>
    <col min="2" max="2" width="3.140625" style="2" customWidth="1"/>
    <col min="3" max="3" width="10.7109375" customWidth="1"/>
    <col min="4" max="4" width="77.7109375" style="1" customWidth="1"/>
    <col min="5" max="5" width="6.7109375" customWidth="1"/>
    <col min="6" max="6" width="8.7109375" customWidth="1"/>
    <col min="7" max="7" width="60.7109375" style="2" customWidth="1"/>
    <col min="8" max="8" width="88.7109375" style="3" customWidth="1"/>
  </cols>
  <sheetData>
    <row r="1" spans="2:8" ht="2.1" customHeight="1" thickBot="1" x14ac:dyDescent="0.3"/>
    <row r="2" spans="2:8" ht="30" customHeight="1" thickBot="1" x14ac:dyDescent="0.35">
      <c r="B2" s="15"/>
      <c r="C2" s="16"/>
      <c r="D2" s="138" t="s">
        <v>171</v>
      </c>
      <c r="E2" s="138"/>
      <c r="F2" s="138"/>
      <c r="G2" s="138"/>
      <c r="H2" s="139"/>
    </row>
    <row r="3" spans="2:8" ht="15" customHeight="1" x14ac:dyDescent="0.25">
      <c r="B3" s="134" t="s">
        <v>10</v>
      </c>
      <c r="C3" s="135"/>
      <c r="D3" s="146" t="s">
        <v>100</v>
      </c>
      <c r="E3" s="146"/>
      <c r="F3" s="146"/>
      <c r="G3" s="56"/>
      <c r="H3" s="57"/>
    </row>
    <row r="4" spans="2:8" ht="15" customHeight="1" x14ac:dyDescent="0.25">
      <c r="B4" s="58"/>
      <c r="C4" s="59" t="s">
        <v>34</v>
      </c>
      <c r="D4" s="60" t="s">
        <v>170</v>
      </c>
      <c r="E4" s="60"/>
      <c r="F4" s="60"/>
      <c r="G4" s="61"/>
      <c r="H4" s="62"/>
    </row>
    <row r="5" spans="2:8" ht="15" customHeight="1" thickBot="1" x14ac:dyDescent="0.3">
      <c r="B5" s="136" t="s">
        <v>12</v>
      </c>
      <c r="C5" s="137"/>
      <c r="D5" s="147" t="s">
        <v>101</v>
      </c>
      <c r="E5" s="147"/>
      <c r="F5" s="147"/>
      <c r="G5" s="63"/>
      <c r="H5" s="64"/>
    </row>
    <row r="6" spans="2:8" ht="12" customHeight="1" x14ac:dyDescent="0.25">
      <c r="B6" s="131" t="s">
        <v>14</v>
      </c>
      <c r="C6" s="128" t="s">
        <v>11</v>
      </c>
      <c r="D6" s="128" t="s">
        <v>0</v>
      </c>
      <c r="E6" s="128" t="s">
        <v>4</v>
      </c>
      <c r="F6" s="128" t="s">
        <v>15</v>
      </c>
      <c r="G6" s="140" t="s">
        <v>7</v>
      </c>
      <c r="H6" s="143" t="s">
        <v>3</v>
      </c>
    </row>
    <row r="7" spans="2:8" ht="12" customHeight="1" x14ac:dyDescent="0.25">
      <c r="B7" s="132"/>
      <c r="C7" s="129"/>
      <c r="D7" s="129"/>
      <c r="E7" s="129"/>
      <c r="F7" s="129"/>
      <c r="G7" s="141"/>
      <c r="H7" s="144"/>
    </row>
    <row r="8" spans="2:8" ht="12" customHeight="1" thickBot="1" x14ac:dyDescent="0.3">
      <c r="B8" s="133"/>
      <c r="C8" s="130"/>
      <c r="D8" s="130"/>
      <c r="E8" s="130"/>
      <c r="F8" s="130"/>
      <c r="G8" s="142"/>
      <c r="H8" s="145"/>
    </row>
    <row r="9" spans="2:8" s="4" customFormat="1" ht="15" customHeight="1" thickBot="1" x14ac:dyDescent="0.3">
      <c r="B9" s="10"/>
      <c r="C9" s="11"/>
      <c r="D9" s="126" t="s">
        <v>27</v>
      </c>
      <c r="E9" s="126"/>
      <c r="F9" s="126"/>
      <c r="G9" s="126"/>
      <c r="H9" s="127"/>
    </row>
    <row r="10" spans="2:8" s="4" customFormat="1" ht="37.5" customHeight="1" x14ac:dyDescent="0.25">
      <c r="B10" s="32">
        <v>1</v>
      </c>
      <c r="C10" s="35" t="s">
        <v>13</v>
      </c>
      <c r="D10" s="54" t="s">
        <v>42</v>
      </c>
      <c r="E10" s="33" t="s">
        <v>9</v>
      </c>
      <c r="F10" s="30">
        <f>4*6+12</f>
        <v>36</v>
      </c>
      <c r="G10" s="53" t="s">
        <v>164</v>
      </c>
      <c r="H10" s="13" t="s">
        <v>102</v>
      </c>
    </row>
    <row r="11" spans="2:8" s="4" customFormat="1" ht="27.75" customHeight="1" x14ac:dyDescent="0.25">
      <c r="B11" s="32">
        <v>2</v>
      </c>
      <c r="C11" s="20">
        <v>966071822</v>
      </c>
      <c r="D11" s="80" t="s">
        <v>103</v>
      </c>
      <c r="E11" s="35" t="s">
        <v>8</v>
      </c>
      <c r="F11" s="30">
        <v>0</v>
      </c>
      <c r="G11" s="74" t="s">
        <v>161</v>
      </c>
      <c r="H11" s="13" t="s">
        <v>104</v>
      </c>
    </row>
    <row r="12" spans="2:8" s="4" customFormat="1" ht="27.75" customHeight="1" x14ac:dyDescent="0.25">
      <c r="B12" s="96">
        <v>3</v>
      </c>
      <c r="C12" s="20">
        <v>348401230</v>
      </c>
      <c r="D12" s="80" t="s">
        <v>105</v>
      </c>
      <c r="E12" s="35" t="s">
        <v>8</v>
      </c>
      <c r="F12" s="30">
        <f>F11</f>
        <v>0</v>
      </c>
      <c r="G12" s="74" t="str">
        <f>"Pol. "&amp;B11</f>
        <v>Pol. 2</v>
      </c>
      <c r="H12" s="13" t="s">
        <v>106</v>
      </c>
    </row>
    <row r="13" spans="2:8" s="4" customFormat="1" ht="37.5" customHeight="1" x14ac:dyDescent="0.25">
      <c r="B13" s="96">
        <v>4</v>
      </c>
      <c r="C13" s="97">
        <v>944311112</v>
      </c>
      <c r="D13" s="55" t="s">
        <v>44</v>
      </c>
      <c r="E13" s="33" t="s">
        <v>8</v>
      </c>
      <c r="F13" s="30">
        <f>7</f>
        <v>7</v>
      </c>
      <c r="G13" s="74" t="s">
        <v>165</v>
      </c>
      <c r="H13" s="13" t="s">
        <v>107</v>
      </c>
    </row>
    <row r="14" spans="2:8" s="4" customFormat="1" ht="27.95" customHeight="1" x14ac:dyDescent="0.25">
      <c r="B14" s="96">
        <v>5</v>
      </c>
      <c r="C14" s="82">
        <v>944311211</v>
      </c>
      <c r="D14" s="26" t="s">
        <v>88</v>
      </c>
      <c r="E14" s="33" t="s">
        <v>43</v>
      </c>
      <c r="F14" s="30">
        <f>F13*(31+30)</f>
        <v>427</v>
      </c>
      <c r="G14" s="74" t="str">
        <f>"Pol. č. "&amp;B13&amp;" x (31 + 30 dní)"</f>
        <v>Pol. č. 4 x (31 + 30 dní)</v>
      </c>
      <c r="H14" s="9" t="s">
        <v>162</v>
      </c>
    </row>
    <row r="15" spans="2:8" s="4" customFormat="1" ht="27.75" customHeight="1" x14ac:dyDescent="0.25">
      <c r="B15" s="96">
        <v>6</v>
      </c>
      <c r="C15" s="82">
        <v>944311812</v>
      </c>
      <c r="D15" s="26" t="s">
        <v>45</v>
      </c>
      <c r="E15" s="20" t="s">
        <v>8</v>
      </c>
      <c r="F15" s="31">
        <f>F13</f>
        <v>7</v>
      </c>
      <c r="G15" s="74" t="str">
        <f>"Pol. "&amp;B13</f>
        <v>Pol. 4</v>
      </c>
      <c r="H15" s="9" t="s">
        <v>69</v>
      </c>
    </row>
    <row r="16" spans="2:8" s="4" customFormat="1" ht="37.5" customHeight="1" x14ac:dyDescent="0.25">
      <c r="B16" s="32">
        <v>7</v>
      </c>
      <c r="C16" s="97">
        <v>944511111</v>
      </c>
      <c r="D16" s="54" t="s">
        <v>46</v>
      </c>
      <c r="E16" s="33" t="s">
        <v>9</v>
      </c>
      <c r="F16" s="31">
        <f>F13*1.5</f>
        <v>10.5</v>
      </c>
      <c r="G16" s="53" t="str">
        <f>"Pol. "&amp;B13&amp;" x výška 1.5 m"</f>
        <v>Pol. 4 x výška 1.5 m</v>
      </c>
      <c r="H16" s="9" t="s">
        <v>108</v>
      </c>
    </row>
    <row r="17" spans="2:8" s="4" customFormat="1" ht="27.95" customHeight="1" x14ac:dyDescent="0.25">
      <c r="B17" s="32">
        <v>8</v>
      </c>
      <c r="C17" s="82">
        <v>944511211</v>
      </c>
      <c r="D17" s="26" t="s">
        <v>47</v>
      </c>
      <c r="E17" s="20" t="s">
        <v>70</v>
      </c>
      <c r="F17" s="40">
        <f>F16*(31+30)</f>
        <v>640.5</v>
      </c>
      <c r="G17" s="74" t="str">
        <f>"Pol. "&amp;B16&amp;" x (31 + 30 dní)"</f>
        <v>Pol. 7 x (31 + 30 dní)</v>
      </c>
      <c r="H17" s="9" t="s">
        <v>162</v>
      </c>
    </row>
    <row r="18" spans="2:8" s="4" customFormat="1" ht="27.75" customHeight="1" x14ac:dyDescent="0.25">
      <c r="B18" s="32">
        <v>9</v>
      </c>
      <c r="C18" s="82">
        <v>944511811</v>
      </c>
      <c r="D18" s="54" t="s">
        <v>48</v>
      </c>
      <c r="E18" s="20" t="s">
        <v>9</v>
      </c>
      <c r="F18" s="31">
        <f>F16</f>
        <v>10.5</v>
      </c>
      <c r="G18" s="53" t="str">
        <f>"Pol. "&amp;B16</f>
        <v>Pol. 7</v>
      </c>
      <c r="H18" s="9" t="s">
        <v>71</v>
      </c>
    </row>
    <row r="19" spans="2:8" s="4" customFormat="1" ht="27.95" customHeight="1" x14ac:dyDescent="0.25">
      <c r="B19" s="98">
        <v>10</v>
      </c>
      <c r="C19" s="82">
        <v>765142811</v>
      </c>
      <c r="D19" s="26" t="s">
        <v>123</v>
      </c>
      <c r="E19" s="20" t="s">
        <v>9</v>
      </c>
      <c r="F19" s="40">
        <v>0</v>
      </c>
      <c r="G19" s="74" t="s">
        <v>166</v>
      </c>
      <c r="H19" s="9" t="s">
        <v>109</v>
      </c>
    </row>
    <row r="20" spans="2:8" s="4" customFormat="1" ht="27.95" customHeight="1" thickBot="1" x14ac:dyDescent="0.3">
      <c r="B20" s="98">
        <v>11</v>
      </c>
      <c r="C20" s="82">
        <v>765142051</v>
      </c>
      <c r="D20" s="54" t="s">
        <v>124</v>
      </c>
      <c r="E20" s="20" t="s">
        <v>9</v>
      </c>
      <c r="F20" s="31">
        <f>F19</f>
        <v>0</v>
      </c>
      <c r="G20" s="53" t="str">
        <f>"Pol. "&amp;B19</f>
        <v>Pol. 10</v>
      </c>
      <c r="H20" s="9" t="s">
        <v>110</v>
      </c>
    </row>
    <row r="21" spans="2:8" s="4" customFormat="1" ht="15" customHeight="1" thickBot="1" x14ac:dyDescent="0.3">
      <c r="B21" s="17"/>
      <c r="C21" s="12"/>
      <c r="D21" s="124" t="s">
        <v>53</v>
      </c>
      <c r="E21" s="124"/>
      <c r="F21" s="124"/>
      <c r="G21" s="124"/>
      <c r="H21" s="125"/>
    </row>
    <row r="22" spans="2:8" s="4" customFormat="1" ht="27.95" customHeight="1" x14ac:dyDescent="0.25">
      <c r="B22" s="32">
        <v>12</v>
      </c>
      <c r="C22" s="25">
        <v>112151112</v>
      </c>
      <c r="D22" s="26" t="s">
        <v>49</v>
      </c>
      <c r="E22" s="20" t="s">
        <v>1</v>
      </c>
      <c r="F22" s="49">
        <v>4</v>
      </c>
      <c r="G22" s="8" t="s">
        <v>111</v>
      </c>
      <c r="H22" s="9" t="s">
        <v>90</v>
      </c>
    </row>
    <row r="23" spans="2:8" s="4" customFormat="1" ht="27.95" customHeight="1" x14ac:dyDescent="0.25">
      <c r="B23" s="32">
        <v>13</v>
      </c>
      <c r="C23" s="25">
        <v>112211272</v>
      </c>
      <c r="D23" s="26" t="s">
        <v>50</v>
      </c>
      <c r="E23" s="20" t="s">
        <v>1</v>
      </c>
      <c r="F23" s="49">
        <f>CEILING(F22*0.7,1)</f>
        <v>3</v>
      </c>
      <c r="G23" s="8" t="str">
        <f>"Odborný předpoklad vyjádřený procenuelně z počtu kusů odstraněných stromů: 70 % z pol. č. "&amp;B22</f>
        <v>Odborný předpoklad vyjádřený procenuelně z počtu kusů odstraněných stromů: 70 % z pol. č. 12</v>
      </c>
      <c r="H23" s="9" t="s">
        <v>91</v>
      </c>
    </row>
    <row r="24" spans="2:8" s="4" customFormat="1" ht="27.95" customHeight="1" x14ac:dyDescent="0.25">
      <c r="B24" s="32">
        <v>14</v>
      </c>
      <c r="C24" s="25">
        <v>155211112</v>
      </c>
      <c r="D24" s="26" t="s">
        <v>30</v>
      </c>
      <c r="E24" s="20" t="s">
        <v>9</v>
      </c>
      <c r="F24" s="49">
        <f>CEILING((119*2*1.3)*0.4,1)</f>
        <v>124</v>
      </c>
      <c r="G24" s="74" t="s">
        <v>167</v>
      </c>
      <c r="H24" s="9" t="s">
        <v>92</v>
      </c>
    </row>
    <row r="25" spans="2:8" s="4" customFormat="1" ht="27.95" customHeight="1" x14ac:dyDescent="0.25">
      <c r="B25" s="32">
        <v>15</v>
      </c>
      <c r="C25" s="25" t="s">
        <v>134</v>
      </c>
      <c r="D25" s="26" t="s">
        <v>135</v>
      </c>
      <c r="E25" s="33" t="s">
        <v>6</v>
      </c>
      <c r="F25" s="49">
        <f>ROUND((F24*12.5)/750,1)</f>
        <v>2.1</v>
      </c>
      <c r="G25" s="105" t="str">
        <f>"(Pol. "&amp;B23&amp;" x 12,5 kg/m²) / prům. obj. hmot. dřevní hmoty ve vlhkém stavu 0,75 t/m³"</f>
        <v>(Pol. 13 x 12,5 kg/m²) / prům. obj. hmot. dřevní hmoty ve vlhkém stavu 0,75 t/m³</v>
      </c>
      <c r="H25" s="9" t="s">
        <v>93</v>
      </c>
    </row>
    <row r="26" spans="2:8" s="4" customFormat="1" ht="37.5" customHeight="1" x14ac:dyDescent="0.25">
      <c r="B26" s="32">
        <v>16</v>
      </c>
      <c r="C26" s="20">
        <v>155211122</v>
      </c>
      <c r="D26" s="65" t="s">
        <v>51</v>
      </c>
      <c r="E26" s="33" t="s">
        <v>6</v>
      </c>
      <c r="F26" s="31">
        <f>ROUND((68.5*2*1.3*0.5)*0.35,1)</f>
        <v>31.2</v>
      </c>
      <c r="G26" s="18" t="s">
        <v>168</v>
      </c>
      <c r="H26" s="9" t="s">
        <v>94</v>
      </c>
    </row>
    <row r="27" spans="2:8" s="4" customFormat="1" ht="27.95" customHeight="1" x14ac:dyDescent="0.25">
      <c r="B27" s="32">
        <v>17</v>
      </c>
      <c r="C27" s="20">
        <v>155211311</v>
      </c>
      <c r="D27" s="21" t="s">
        <v>52</v>
      </c>
      <c r="E27" s="20" t="s">
        <v>6</v>
      </c>
      <c r="F27" s="31">
        <v>2</v>
      </c>
      <c r="G27" s="74" t="s">
        <v>163</v>
      </c>
      <c r="H27" s="9" t="s">
        <v>95</v>
      </c>
    </row>
    <row r="28" spans="2:8" s="4" customFormat="1" ht="50.25" customHeight="1" thickBot="1" x14ac:dyDescent="0.3">
      <c r="B28" s="32">
        <v>18</v>
      </c>
      <c r="C28" s="25">
        <v>122211101</v>
      </c>
      <c r="D28" s="26" t="s">
        <v>125</v>
      </c>
      <c r="E28" s="81" t="s">
        <v>6</v>
      </c>
      <c r="F28" s="30">
        <f>ROUND(7.8*2^2/2+8.5*1^2/2,1)</f>
        <v>19.899999999999999</v>
      </c>
      <c r="G28" s="74" t="s">
        <v>169</v>
      </c>
      <c r="H28" s="9" t="s">
        <v>96</v>
      </c>
    </row>
    <row r="29" spans="2:8" s="5" customFormat="1" ht="15" customHeight="1" thickBot="1" x14ac:dyDescent="0.3">
      <c r="B29" s="19"/>
      <c r="C29" s="12"/>
      <c r="D29" s="124" t="s">
        <v>54</v>
      </c>
      <c r="E29" s="124"/>
      <c r="F29" s="124"/>
      <c r="G29" s="124"/>
      <c r="H29" s="125"/>
    </row>
    <row r="30" spans="2:8" s="5" customFormat="1" ht="37.5" customHeight="1" x14ac:dyDescent="0.25">
      <c r="B30" s="32">
        <v>19</v>
      </c>
      <c r="C30" s="33">
        <v>155213612</v>
      </c>
      <c r="D30" s="24" t="s">
        <v>55</v>
      </c>
      <c r="E30" s="34" t="s">
        <v>1</v>
      </c>
      <c r="F30" s="30">
        <f>CEILING((((59)*1.3/3))*1.1,1)+CEILING(F32/(3*3)*1.1,1)</f>
        <v>51</v>
      </c>
      <c r="G30" s="99" t="str">
        <f>"(Obvod síťované plochy 59 m x koef. členitosti 1,3 / os. vzd. prvků 3 m) + pol. č. "&amp;B32&amp;" / (rastr 3 x 3 m) + 10 % na prokopír. Terénu"</f>
        <v>(Obvod síťované plochy 59 m x koef. členitosti 1,3 / os. vzd. prvků 3 m) + pol. č. 21 / (rastr 3 x 3 m) + 10 % na prokopír. Terénu</v>
      </c>
      <c r="H30" s="85" t="s">
        <v>114</v>
      </c>
    </row>
    <row r="31" spans="2:8" s="5" customFormat="1" ht="27.95" customHeight="1" x14ac:dyDescent="0.25">
      <c r="B31" s="32">
        <v>20</v>
      </c>
      <c r="C31" s="20">
        <v>789321120</v>
      </c>
      <c r="D31" s="21" t="s">
        <v>31</v>
      </c>
      <c r="E31" s="20" t="s">
        <v>9</v>
      </c>
      <c r="F31" s="31">
        <f>CEILING(((2*(PI()*(0.032^2)/4))+(PI()*0.032))*1.3*3*F30,1)</f>
        <v>21</v>
      </c>
      <c r="G31" s="8" t="str">
        <f>"Pl. 1 mb tyče 0,10213946 m² x koef. zohledňující závit 1,3 x dl. kotev. prvku 3,0 m x pol. č. "&amp;B30</f>
        <v>Pl. 1 mb tyče 0,10213946 m² x koef. zohledňující závit 1,3 x dl. kotev. prvku 3,0 m x pol. č. 19</v>
      </c>
      <c r="H31" s="9" t="s">
        <v>26</v>
      </c>
    </row>
    <row r="32" spans="2:8" s="5" customFormat="1" ht="27.95" customHeight="1" x14ac:dyDescent="0.25">
      <c r="B32" s="32">
        <v>21</v>
      </c>
      <c r="C32" s="20">
        <v>155214111</v>
      </c>
      <c r="D32" s="36" t="s">
        <v>35</v>
      </c>
      <c r="E32" s="20" t="s">
        <v>9</v>
      </c>
      <c r="F32" s="31">
        <f>CEILING((69)*2*1.3,1)</f>
        <v>180</v>
      </c>
      <c r="G32" s="86" t="s">
        <v>172</v>
      </c>
      <c r="H32" s="52" t="s">
        <v>73</v>
      </c>
    </row>
    <row r="33" spans="2:8" s="5" customFormat="1" ht="27.95" customHeight="1" x14ac:dyDescent="0.25">
      <c r="B33" s="32">
        <v>22</v>
      </c>
      <c r="C33" s="20">
        <v>31319090</v>
      </c>
      <c r="D33" s="21" t="s">
        <v>116</v>
      </c>
      <c r="E33" s="20" t="s">
        <v>9</v>
      </c>
      <c r="F33" s="31">
        <f>CEILING(F32*1.2,1)</f>
        <v>216</v>
      </c>
      <c r="G33" s="78" t="str">
        <f>"Pol. č. "&amp;B32&amp;" + 20 % ztratné na překryvy, prořezy a zpětné ohnutí"</f>
        <v>Pol. č. 21 + 20 % ztratné na překryvy, prořezy a zpětné ohnutí</v>
      </c>
      <c r="H33" s="52" t="s">
        <v>115</v>
      </c>
    </row>
    <row r="34" spans="2:8" s="5" customFormat="1" ht="27.75" customHeight="1" x14ac:dyDescent="0.25">
      <c r="B34" s="32">
        <v>23</v>
      </c>
      <c r="C34" s="20">
        <v>155214211</v>
      </c>
      <c r="D34" s="21" t="s">
        <v>32</v>
      </c>
      <c r="E34" s="37" t="s">
        <v>8</v>
      </c>
      <c r="F34" s="31">
        <f>CEILING((59)*1.3+(F32/3.1)*1.3,1)</f>
        <v>153</v>
      </c>
      <c r="G34" s="87" t="str">
        <f>"Obvod síťované pl. 59 m x koef. členitosti 1,3 + lano pro vzájemné spojení jednotlivých pásů sítě (pol. č. "&amp;B32&amp;" / koef. 3,1) x koef. členitosti 1,3"</f>
        <v>Obvod síťované pl. 59 m x koef. členitosti 1,3 + lano pro vzájemné spojení jednotlivých pásů sítě (pol. č. 21 / koef. 3,1) x koef. členitosti 1,3</v>
      </c>
      <c r="H34" s="52" t="s">
        <v>74</v>
      </c>
    </row>
    <row r="35" spans="2:8" s="5" customFormat="1" ht="27.95" customHeight="1" x14ac:dyDescent="0.25">
      <c r="B35" s="32">
        <v>24</v>
      </c>
      <c r="C35" s="20">
        <v>31452106</v>
      </c>
      <c r="D35" s="21" t="s">
        <v>112</v>
      </c>
      <c r="E35" s="37" t="s">
        <v>8</v>
      </c>
      <c r="F35" s="31">
        <f>CEILING((F32/3.1)*1.3*1.2,1)</f>
        <v>91</v>
      </c>
      <c r="G35" s="87" t="str">
        <f>"(Pol. č. "&amp;B32&amp;" / koef. 3,1 x koef. členitosti 1,3) + 20 % ztratné na prořezy, překryvy a zpět. ohnutí"</f>
        <v>(Pol. č. 21 / koef. 3,1 x koef. členitosti 1,3) + 20 % ztratné na prořezy, překryvy a zpět. ohnutí</v>
      </c>
      <c r="H35" s="52" t="s">
        <v>117</v>
      </c>
    </row>
    <row r="36" spans="2:8" s="5" customFormat="1" ht="27.95" customHeight="1" thickBot="1" x14ac:dyDescent="0.3">
      <c r="B36" s="32">
        <v>25</v>
      </c>
      <c r="C36" s="38">
        <v>31452107</v>
      </c>
      <c r="D36" s="21" t="s">
        <v>113</v>
      </c>
      <c r="E36" s="37" t="s">
        <v>8</v>
      </c>
      <c r="F36" s="31">
        <f>CEILING((59*1.3)*1.2,1)</f>
        <v>93</v>
      </c>
      <c r="G36" s="78" t="s">
        <v>173</v>
      </c>
      <c r="H36" s="52" t="s">
        <v>118</v>
      </c>
    </row>
    <row r="37" spans="2:8" s="6" customFormat="1" ht="15" customHeight="1" thickBot="1" x14ac:dyDescent="0.3">
      <c r="B37" s="19"/>
      <c r="C37" s="12"/>
      <c r="D37" s="124" t="s">
        <v>56</v>
      </c>
      <c r="E37" s="124"/>
      <c r="F37" s="124"/>
      <c r="G37" s="124"/>
      <c r="H37" s="125"/>
    </row>
    <row r="38" spans="2:8" s="6" customFormat="1" ht="27.95" customHeight="1" x14ac:dyDescent="0.25">
      <c r="B38" s="41">
        <v>26</v>
      </c>
      <c r="C38" s="66">
        <v>155212114</v>
      </c>
      <c r="D38" s="67" t="s">
        <v>57</v>
      </c>
      <c r="E38" s="66" t="s">
        <v>8</v>
      </c>
      <c r="F38" s="68">
        <f>F44*1.1</f>
        <v>6.6000000000000005</v>
      </c>
      <c r="G38" s="91" t="str">
        <f>"Pol. č. "&amp;B44&amp;" x dl. vrtu 1,1 m"</f>
        <v>Pol. č. 32 x dl. vrtu 1,1 m</v>
      </c>
      <c r="H38" s="83" t="s">
        <v>79</v>
      </c>
    </row>
    <row r="39" spans="2:8" s="6" customFormat="1" ht="27.95" customHeight="1" x14ac:dyDescent="0.25">
      <c r="B39" s="39">
        <v>27</v>
      </c>
      <c r="C39" s="37">
        <v>155212344</v>
      </c>
      <c r="D39" s="36" t="s">
        <v>58</v>
      </c>
      <c r="E39" s="37" t="s">
        <v>8</v>
      </c>
      <c r="F39" s="69">
        <f>F42*1.1</f>
        <v>11</v>
      </c>
      <c r="G39" s="75" t="str">
        <f>"Pol. č. "&amp;B42&amp;" x dl. vrtu 1,1 m"</f>
        <v>Pol. č. 30 x dl. vrtu 1,1 m</v>
      </c>
      <c r="H39" s="76" t="s">
        <v>80</v>
      </c>
    </row>
    <row r="40" spans="2:8" s="6" customFormat="1" ht="27.95" customHeight="1" x14ac:dyDescent="0.25">
      <c r="B40" s="39">
        <v>28</v>
      </c>
      <c r="C40" s="37">
        <v>122211101</v>
      </c>
      <c r="D40" s="26" t="s">
        <v>125</v>
      </c>
      <c r="E40" s="20" t="s">
        <v>6</v>
      </c>
      <c r="F40" s="69">
        <f>CEILING((F42+F44)*0.35*0.35*0.8,0.1)</f>
        <v>1.6</v>
      </c>
      <c r="G40" s="75" t="str">
        <f>"(Pol. č. "&amp;B42&amp;" + "&amp;B44&amp;") x rozměr bet. patky 0,35 x 0,35 x 0,8 m; uvažováno s kombinací vrtu a patky v poměru cca 3/4 dl. patka + 1/4 dl. Vrt"</f>
        <v>(Pol. č. 30 + 32) x rozměr bet. patky 0,35 x 0,35 x 0,8 m; uvažováno s kombinací vrtu a patky v poměru cca 3/4 dl. patka + 1/4 dl. Vrt</v>
      </c>
      <c r="H40" s="76" t="s">
        <v>81</v>
      </c>
    </row>
    <row r="41" spans="2:8" s="6" customFormat="1" ht="27.95" customHeight="1" x14ac:dyDescent="0.25">
      <c r="B41" s="39">
        <v>29</v>
      </c>
      <c r="C41" s="37">
        <v>275311127</v>
      </c>
      <c r="D41" s="36" t="s">
        <v>59</v>
      </c>
      <c r="E41" s="20" t="s">
        <v>6</v>
      </c>
      <c r="F41" s="69">
        <f>F40</f>
        <v>1.6</v>
      </c>
      <c r="G41" s="75" t="str">
        <f>"Pol. č. "&amp;B40</f>
        <v>Pol. č. 28</v>
      </c>
      <c r="H41" s="76" t="s">
        <v>89</v>
      </c>
    </row>
    <row r="42" spans="2:8" s="6" customFormat="1" ht="27.95" customHeight="1" x14ac:dyDescent="0.25">
      <c r="B42" s="39">
        <v>30</v>
      </c>
      <c r="C42" s="37">
        <v>155214411</v>
      </c>
      <c r="D42" s="36" t="s">
        <v>126</v>
      </c>
      <c r="E42" s="37" t="s">
        <v>1</v>
      </c>
      <c r="F42" s="69">
        <f>CEILING(((16)/2)+2,1)</f>
        <v>10</v>
      </c>
      <c r="G42" s="75" t="s">
        <v>174</v>
      </c>
      <c r="H42" s="76" t="s">
        <v>120</v>
      </c>
    </row>
    <row r="43" spans="2:8" s="6" customFormat="1" ht="37.5" customHeight="1" x14ac:dyDescent="0.25">
      <c r="B43" s="39">
        <v>31</v>
      </c>
      <c r="C43" s="37">
        <v>155214511</v>
      </c>
      <c r="D43" s="21" t="s">
        <v>119</v>
      </c>
      <c r="E43" s="37" t="s">
        <v>1</v>
      </c>
      <c r="F43" s="69">
        <f>CEILING(((16)/4)+2,1)</f>
        <v>6</v>
      </c>
      <c r="G43" s="75" t="s">
        <v>175</v>
      </c>
      <c r="H43" s="79" t="s">
        <v>82</v>
      </c>
    </row>
    <row r="44" spans="2:8" s="6" customFormat="1" ht="37.5" customHeight="1" x14ac:dyDescent="0.25">
      <c r="B44" s="39">
        <v>32</v>
      </c>
      <c r="C44" s="37">
        <v>155213312</v>
      </c>
      <c r="D44" s="21" t="s">
        <v>60</v>
      </c>
      <c r="E44" s="37" t="s">
        <v>1</v>
      </c>
      <c r="F44" s="69">
        <f>F43</f>
        <v>6</v>
      </c>
      <c r="G44" s="75" t="str">
        <f>"Pol. č. "&amp;B43</f>
        <v>Pol. č. 31</v>
      </c>
      <c r="H44" s="79" t="s">
        <v>97</v>
      </c>
    </row>
    <row r="45" spans="2:8" s="6" customFormat="1" ht="27.95" customHeight="1" x14ac:dyDescent="0.25">
      <c r="B45" s="39">
        <v>33</v>
      </c>
      <c r="C45" s="37">
        <v>789321120</v>
      </c>
      <c r="D45" s="36" t="s">
        <v>31</v>
      </c>
      <c r="E45" s="20" t="s">
        <v>9</v>
      </c>
      <c r="F45" s="69">
        <f>CEILING((F42*((2*(PI()*(0.076^2)/4))+(PI()*0.076))*3)+(F44*((2*(PI()*(0.025^2)/4))+(PI()*0.025))*1.3*1.1),1)</f>
        <v>9</v>
      </c>
      <c r="G45" s="8" t="str">
        <f>"(Pl. 1 mb sloupu 0,238761 m² x dl. sloupu 3 m x pol. č. "&amp;B42&amp;") + (pl. 1 mb tyče 0,078540 m² x koef. zohledňující závit 1,3 x dl. kotev. prvku 1,1 m x pol. č. "&amp;B44&amp;")"</f>
        <v>(Pl. 1 mb sloupu 0,238761 m² x dl. sloupu 3 m x pol. č. 30) + (pl. 1 mb tyče 0,078540 m² x koef. zohledňující závit 1,3 x dl. kotev. prvku 1,1 m x pol. č. 32)</v>
      </c>
      <c r="H45" s="76" t="s">
        <v>83</v>
      </c>
    </row>
    <row r="46" spans="2:8" s="6" customFormat="1" ht="27.95" customHeight="1" x14ac:dyDescent="0.25">
      <c r="B46" s="39">
        <v>34</v>
      </c>
      <c r="C46" s="37">
        <v>281604111</v>
      </c>
      <c r="D46" s="36" t="s">
        <v>121</v>
      </c>
      <c r="E46" s="37" t="s">
        <v>2</v>
      </c>
      <c r="F46" s="69">
        <f>CEILING(F38*0.2,0.1)</f>
        <v>1.4000000000000001</v>
      </c>
      <c r="G46" s="78" t="str">
        <f>"Pol. č. "&amp;B38&amp;" x 0,2 h/bm vrtu"</f>
        <v>Pol. č. 26 x 0,2 h/bm vrtu</v>
      </c>
      <c r="H46" s="52" t="s">
        <v>98</v>
      </c>
    </row>
    <row r="47" spans="2:8" s="6" customFormat="1" ht="27.95" customHeight="1" x14ac:dyDescent="0.25">
      <c r="B47" s="39">
        <v>35</v>
      </c>
      <c r="C47" s="37">
        <v>155214521</v>
      </c>
      <c r="D47" s="36" t="s">
        <v>61</v>
      </c>
      <c r="E47" s="20" t="s">
        <v>9</v>
      </c>
      <c r="F47" s="69">
        <f>CEILING((16)*2,1)</f>
        <v>32</v>
      </c>
      <c r="G47" s="75" t="s">
        <v>176</v>
      </c>
      <c r="H47" s="52" t="s">
        <v>85</v>
      </c>
    </row>
    <row r="48" spans="2:8" s="6" customFormat="1" ht="27.95" customHeight="1" x14ac:dyDescent="0.25">
      <c r="B48" s="39">
        <v>36</v>
      </c>
      <c r="C48" s="37">
        <v>31319110</v>
      </c>
      <c r="D48" s="36" t="s">
        <v>84</v>
      </c>
      <c r="E48" s="20" t="s">
        <v>9</v>
      </c>
      <c r="F48" s="69">
        <f>CEILING(F47*1.2,1)</f>
        <v>39</v>
      </c>
      <c r="G48" s="78" t="str">
        <f>"Pol. č. "&amp;B47&amp;" + 20 % ztratné na překryvy, prořezy a zpětné ohnutí"</f>
        <v>Pol. č. 35 + 20 % ztratné na překryvy, prořezy a zpětné ohnutí</v>
      </c>
      <c r="H48" s="52" t="s">
        <v>122</v>
      </c>
    </row>
    <row r="49" spans="2:8" s="6" customFormat="1" ht="27.95" customHeight="1" x14ac:dyDescent="0.25">
      <c r="B49" s="39">
        <v>37</v>
      </c>
      <c r="C49" s="37">
        <v>155214525</v>
      </c>
      <c r="D49" s="36" t="s">
        <v>62</v>
      </c>
      <c r="E49" s="37" t="s">
        <v>8</v>
      </c>
      <c r="F49" s="69">
        <f>CEILING((16)*5,1)</f>
        <v>80</v>
      </c>
      <c r="G49" s="75" t="s">
        <v>177</v>
      </c>
      <c r="H49" s="76" t="s">
        <v>86</v>
      </c>
    </row>
    <row r="50" spans="2:8" s="6" customFormat="1" ht="27.95" customHeight="1" thickBot="1" x14ac:dyDescent="0.3">
      <c r="B50" s="116">
        <v>38</v>
      </c>
      <c r="C50" s="117">
        <v>31452107</v>
      </c>
      <c r="D50" s="28" t="s">
        <v>113</v>
      </c>
      <c r="E50" s="118" t="s">
        <v>8</v>
      </c>
      <c r="F50" s="40">
        <f>CEILING(F49*1.2,1)</f>
        <v>96</v>
      </c>
      <c r="G50" s="119" t="str">
        <f>"Pol. č. "&amp;B49&amp;" + 20 % ztratné na prořezy, překryvy a zpět. ohnutí"</f>
        <v>Pol. č. 37 + 20 % ztratné na prořezy, překryvy a zpět. ohnutí</v>
      </c>
      <c r="H50" s="120" t="s">
        <v>75</v>
      </c>
    </row>
    <row r="51" spans="2:8" s="6" customFormat="1" ht="27.95" customHeight="1" x14ac:dyDescent="0.25">
      <c r="B51" s="41">
        <v>39</v>
      </c>
      <c r="C51" s="44">
        <v>122211101</v>
      </c>
      <c r="D51" s="108" t="s">
        <v>137</v>
      </c>
      <c r="E51" s="109" t="s">
        <v>6</v>
      </c>
      <c r="F51" s="122">
        <f>CEILING(F52*0.3*0.3*0.7,0.1)</f>
        <v>0.9</v>
      </c>
      <c r="G51" s="112" t="s">
        <v>154</v>
      </c>
      <c r="H51" s="113" t="s">
        <v>147</v>
      </c>
    </row>
    <row r="52" spans="2:8" s="6" customFormat="1" ht="27.95" customHeight="1" x14ac:dyDescent="0.2">
      <c r="B52" s="46">
        <v>40</v>
      </c>
      <c r="C52" s="20">
        <v>338171123</v>
      </c>
      <c r="D52" s="121" t="s">
        <v>138</v>
      </c>
      <c r="E52" s="20" t="s">
        <v>1</v>
      </c>
      <c r="F52" s="31">
        <f>F53+F54</f>
        <v>14</v>
      </c>
      <c r="G52" s="8" t="s">
        <v>153</v>
      </c>
      <c r="H52" s="9" t="s">
        <v>148</v>
      </c>
    </row>
    <row r="53" spans="2:8" s="6" customFormat="1" ht="27.95" customHeight="1" x14ac:dyDescent="0.25">
      <c r="B53" s="46">
        <v>41</v>
      </c>
      <c r="C53" s="20" t="s">
        <v>139</v>
      </c>
      <c r="D53" s="21" t="s">
        <v>140</v>
      </c>
      <c r="E53" s="20" t="s">
        <v>1</v>
      </c>
      <c r="F53" s="31">
        <f>CEILING(((F55)/2)+1,1)</f>
        <v>10</v>
      </c>
      <c r="G53" s="8" t="s">
        <v>155</v>
      </c>
      <c r="H53" s="9" t="s">
        <v>160</v>
      </c>
    </row>
    <row r="54" spans="2:8" s="6" customFormat="1" ht="27.95" customHeight="1" x14ac:dyDescent="0.25">
      <c r="B54" s="46">
        <v>42</v>
      </c>
      <c r="C54" s="20" t="s">
        <v>141</v>
      </c>
      <c r="D54" s="65" t="s">
        <v>142</v>
      </c>
      <c r="E54" s="20" t="s">
        <v>1</v>
      </c>
      <c r="F54" s="31">
        <f>CEILING((F55)/8+1,1)</f>
        <v>4</v>
      </c>
      <c r="G54" s="8" t="s">
        <v>156</v>
      </c>
      <c r="H54" s="9" t="s">
        <v>149</v>
      </c>
    </row>
    <row r="55" spans="2:8" s="6" customFormat="1" ht="27.95" customHeight="1" x14ac:dyDescent="0.25">
      <c r="B55" s="46">
        <v>43</v>
      </c>
      <c r="C55" s="20">
        <v>348401130</v>
      </c>
      <c r="D55" s="65" t="s">
        <v>143</v>
      </c>
      <c r="E55" s="20" t="s">
        <v>8</v>
      </c>
      <c r="F55" s="31">
        <v>16.5</v>
      </c>
      <c r="G55" s="8" t="s">
        <v>157</v>
      </c>
      <c r="H55" s="114" t="s">
        <v>150</v>
      </c>
    </row>
    <row r="56" spans="2:8" s="6" customFormat="1" ht="27.95" customHeight="1" x14ac:dyDescent="0.25">
      <c r="B56" s="46">
        <v>44</v>
      </c>
      <c r="C56" s="20" t="s">
        <v>144</v>
      </c>
      <c r="D56" s="65" t="s">
        <v>145</v>
      </c>
      <c r="E56" s="20" t="s">
        <v>9</v>
      </c>
      <c r="F56" s="31">
        <f>CEILING(F55*2*1.2,1)</f>
        <v>40</v>
      </c>
      <c r="G56" s="8" t="s">
        <v>158</v>
      </c>
      <c r="H56" s="9" t="s">
        <v>151</v>
      </c>
    </row>
    <row r="57" spans="2:8" s="6" customFormat="1" ht="27.95" customHeight="1" thickBot="1" x14ac:dyDescent="0.3">
      <c r="B57" s="100">
        <v>45</v>
      </c>
      <c r="C57" s="110">
        <v>348401350</v>
      </c>
      <c r="D57" s="111" t="s">
        <v>146</v>
      </c>
      <c r="E57" s="110" t="s">
        <v>8</v>
      </c>
      <c r="F57" s="107">
        <f>CEILING(F55*3*1.2,1)</f>
        <v>60</v>
      </c>
      <c r="G57" s="123" t="s">
        <v>159</v>
      </c>
      <c r="H57" s="115" t="s">
        <v>152</v>
      </c>
    </row>
    <row r="58" spans="2:8" ht="15" customHeight="1" thickBot="1" x14ac:dyDescent="0.3">
      <c r="B58" s="84"/>
      <c r="C58" s="11"/>
      <c r="D58" s="126" t="s">
        <v>68</v>
      </c>
      <c r="E58" s="126"/>
      <c r="F58" s="126"/>
      <c r="G58" s="126"/>
      <c r="H58" s="127"/>
    </row>
    <row r="59" spans="2:8" s="6" customFormat="1" ht="73.5" customHeight="1" x14ac:dyDescent="0.25">
      <c r="B59" s="39">
        <v>46</v>
      </c>
      <c r="C59" s="38">
        <v>998003111</v>
      </c>
      <c r="D59" s="21" t="s">
        <v>63</v>
      </c>
      <c r="E59" s="37" t="s">
        <v>33</v>
      </c>
      <c r="F59" s="70">
        <f>ROUND((F30*3*0.0036)+(F44*1.1*0.00385)+(F48*0.00118)+(F33*0.00183)+(F35*0.00021)+((F36+F50)*0.00032)+(F42*3*0.0108)+(F41*2.3),2)</f>
        <v>5.0999999999999996</v>
      </c>
      <c r="G59" s="91" t="s">
        <v>132</v>
      </c>
      <c r="H59" s="89" t="s">
        <v>99</v>
      </c>
    </row>
    <row r="60" spans="2:8" s="6" customFormat="1" ht="27.75" customHeight="1" x14ac:dyDescent="0.25">
      <c r="B60" s="39">
        <v>47</v>
      </c>
      <c r="C60" s="95">
        <v>162211311</v>
      </c>
      <c r="D60" s="80" t="s">
        <v>127</v>
      </c>
      <c r="E60" s="20" t="s">
        <v>6</v>
      </c>
      <c r="F60" s="30">
        <f>ROUND((F26+F27+F28+F40)*1.15,1)</f>
        <v>62.9</v>
      </c>
      <c r="G60" s="94" t="str">
        <f>"Pol. č. ("&amp;B26&amp;" + "&amp;B27&amp;" + "&amp;B28&amp;" + "&amp;B40&amp;") x koeficient nakypření 1,15"</f>
        <v>Pol. č. (16 + 17 + 18 + 28) x koeficient nakypření 1,15</v>
      </c>
      <c r="H60" s="77" t="s">
        <v>128</v>
      </c>
    </row>
    <row r="61" spans="2:8" s="6" customFormat="1" ht="27.75" customHeight="1" x14ac:dyDescent="0.25">
      <c r="B61" s="39">
        <v>48</v>
      </c>
      <c r="C61" s="95">
        <v>162211319</v>
      </c>
      <c r="D61" s="80" t="s">
        <v>131</v>
      </c>
      <c r="E61" s="20" t="s">
        <v>6</v>
      </c>
      <c r="F61" s="30">
        <f>F60</f>
        <v>62.9</v>
      </c>
      <c r="G61" s="94" t="str">
        <f>"Pol. č. "&amp;B60</f>
        <v>Pol. č. 47</v>
      </c>
      <c r="H61" s="77" t="s">
        <v>130</v>
      </c>
    </row>
    <row r="62" spans="2:8" s="6" customFormat="1" ht="27.95" customHeight="1" x14ac:dyDescent="0.25">
      <c r="B62" s="39">
        <v>49</v>
      </c>
      <c r="C62" s="35">
        <v>997002611</v>
      </c>
      <c r="D62" s="54" t="s">
        <v>64</v>
      </c>
      <c r="E62" s="33" t="s">
        <v>33</v>
      </c>
      <c r="F62" s="70">
        <f>ROUND(F26*2+F28*1.9,2)</f>
        <v>100.21</v>
      </c>
      <c r="G62" s="94" t="str">
        <f>"Pol. č. "&amp;B26&amp;" x prům. obj. hmot. 2 t/m³ + Pol. č. ("&amp;B28&amp;" + "&amp;B40&amp;") x prům. obj. hmot. 1,9 t/m³"</f>
        <v>Pol. č. 16 x prům. obj. hmot. 2 t/m³ + Pol. č. (18 + 28) x prům. obj. hmot. 1,9 t/m³</v>
      </c>
      <c r="H62" s="77" t="s">
        <v>76</v>
      </c>
    </row>
    <row r="63" spans="2:8" s="6" customFormat="1" ht="27.95" customHeight="1" x14ac:dyDescent="0.25">
      <c r="B63" s="39">
        <v>50</v>
      </c>
      <c r="C63" s="25">
        <v>997002511</v>
      </c>
      <c r="D63" s="26" t="s">
        <v>65</v>
      </c>
      <c r="E63" s="71" t="s">
        <v>33</v>
      </c>
      <c r="F63" s="72">
        <f>ROUND(((F26+F27)*2)+((F28+F40)*1.9),2)</f>
        <v>107.25</v>
      </c>
      <c r="G63" s="75" t="str">
        <f>"((Pol. č. "&amp;B26&amp;" + "&amp;B27&amp;") x prům. obj. hmot. 2 t/m³) + ((pol. č. "&amp;B28&amp;" + "&amp;B40&amp;") x prům. obj. hmot. 1,9 t/m³)"</f>
        <v>((Pol. č. 16 + 17) x prům. obj. hmot. 2 t/m³) + ((pol. č. 18 + 28) x prům. obj. hmot. 1,9 t/m³)</v>
      </c>
      <c r="H63" s="76" t="s">
        <v>77</v>
      </c>
    </row>
    <row r="64" spans="2:8" s="6" customFormat="1" ht="27.95" customHeight="1" x14ac:dyDescent="0.25">
      <c r="B64" s="39">
        <v>51</v>
      </c>
      <c r="C64" s="25">
        <v>997002519</v>
      </c>
      <c r="D64" s="26" t="s">
        <v>66</v>
      </c>
      <c r="E64" s="20" t="s">
        <v>87</v>
      </c>
      <c r="F64" s="73">
        <f>ROUND(F63*13,2)</f>
        <v>1394.25</v>
      </c>
      <c r="G64" s="75" t="str">
        <f>"Příplatek za dalších 13 km vzdálenosti: pol. č. "&amp;B63&amp;" x 13 km"</f>
        <v>Příplatek za dalších 13 km vzdálenosti: pol. č. 50 x 13 km</v>
      </c>
      <c r="H64" s="76" t="s">
        <v>129</v>
      </c>
    </row>
    <row r="65" spans="2:8" s="5" customFormat="1" ht="27.95" customHeight="1" x14ac:dyDescent="0.25">
      <c r="B65" s="39">
        <v>52</v>
      </c>
      <c r="C65" s="20">
        <v>997013873</v>
      </c>
      <c r="D65" s="21" t="s">
        <v>67</v>
      </c>
      <c r="E65" s="20" t="s">
        <v>33</v>
      </c>
      <c r="F65" s="73">
        <f>F63</f>
        <v>107.25</v>
      </c>
      <c r="G65" s="75" t="str">
        <f>"Pol. č. "&amp;B63</f>
        <v>Pol. č. 50</v>
      </c>
      <c r="H65" s="76" t="s">
        <v>78</v>
      </c>
    </row>
    <row r="66" spans="2:8" s="5" customFormat="1" ht="37.5" customHeight="1" thickBot="1" x14ac:dyDescent="0.3">
      <c r="B66" s="39">
        <v>53</v>
      </c>
      <c r="C66" s="27">
        <v>997221658</v>
      </c>
      <c r="D66" s="28" t="s">
        <v>133</v>
      </c>
      <c r="E66" s="27" t="s">
        <v>33</v>
      </c>
      <c r="F66" s="29">
        <f>ROUND((((PI()*(0.15^2))*6.5*F22)+((PI()*(0.15^2))*0.5*F23))*0.75+F25,2)</f>
        <v>3.56</v>
      </c>
      <c r="G66" s="92" t="str">
        <f>"((Pl. průřezu x prům. výška stromu 6,5 m x pol. č. "&amp;B22&amp;") + (pl. průřezu x prům. výška pařezu 0,5 m x pol. č. "&amp;B23&amp;")) x prům. obj. hmot. dřevní hmoty ve vlhkém stavu 0,75 t/m³ + pol. č. "&amp;B25</f>
        <v>((Pl. průřezu x prům. výška stromu 6,5 m x pol. č. 12) + (pl. průřezu x prům. výška pařezu 0,5 m x pol. č. 13)) x prům. obj. hmot. dřevní hmoty ve vlhkém stavu 0,75 t/m³ + pol. č. 15</v>
      </c>
      <c r="H66" s="93" t="s">
        <v>72</v>
      </c>
    </row>
    <row r="67" spans="2:8" ht="15" customHeight="1" thickBot="1" x14ac:dyDescent="0.3">
      <c r="B67" s="14"/>
      <c r="C67" s="12"/>
      <c r="D67" s="124" t="s">
        <v>5</v>
      </c>
      <c r="E67" s="124"/>
      <c r="F67" s="124"/>
      <c r="G67" s="124"/>
      <c r="H67" s="125"/>
    </row>
    <row r="68" spans="2:8" s="7" customFormat="1" ht="27.95" customHeight="1" x14ac:dyDescent="0.25">
      <c r="B68" s="41">
        <v>54</v>
      </c>
      <c r="C68" s="42" t="s">
        <v>36</v>
      </c>
      <c r="D68" s="43" t="s">
        <v>16</v>
      </c>
      <c r="E68" s="44" t="s">
        <v>17</v>
      </c>
      <c r="F68" s="45">
        <f>1</f>
        <v>1</v>
      </c>
      <c r="G68" s="88" t="s">
        <v>19</v>
      </c>
      <c r="H68" s="89" t="s">
        <v>20</v>
      </c>
    </row>
    <row r="69" spans="2:8" s="7" customFormat="1" ht="27.95" customHeight="1" x14ac:dyDescent="0.25">
      <c r="B69" s="46">
        <v>55</v>
      </c>
      <c r="C69" s="47" t="s">
        <v>37</v>
      </c>
      <c r="D69" s="48" t="s">
        <v>23</v>
      </c>
      <c r="E69" s="25" t="s">
        <v>17</v>
      </c>
      <c r="F69" s="49">
        <f>1</f>
        <v>1</v>
      </c>
      <c r="G69" s="90" t="s">
        <v>19</v>
      </c>
      <c r="H69" s="77" t="s">
        <v>25</v>
      </c>
    </row>
    <row r="70" spans="2:8" s="7" customFormat="1" ht="27.95" customHeight="1" x14ac:dyDescent="0.25">
      <c r="B70" s="46">
        <v>56</v>
      </c>
      <c r="C70" s="47" t="s">
        <v>38</v>
      </c>
      <c r="D70" s="50" t="s">
        <v>24</v>
      </c>
      <c r="E70" s="25" t="s">
        <v>17</v>
      </c>
      <c r="F70" s="49">
        <f>1</f>
        <v>1</v>
      </c>
      <c r="G70" s="18" t="s">
        <v>21</v>
      </c>
      <c r="H70" s="76" t="s">
        <v>41</v>
      </c>
    </row>
    <row r="71" spans="2:8" s="7" customFormat="1" ht="27.95" customHeight="1" x14ac:dyDescent="0.25">
      <c r="B71" s="46">
        <v>57</v>
      </c>
      <c r="C71" s="51" t="s">
        <v>39</v>
      </c>
      <c r="D71" s="23" t="s">
        <v>28</v>
      </c>
      <c r="E71" s="22" t="s">
        <v>2</v>
      </c>
      <c r="F71" s="106">
        <v>40</v>
      </c>
      <c r="G71" s="18" t="s">
        <v>136</v>
      </c>
      <c r="H71" s="76" t="s">
        <v>29</v>
      </c>
    </row>
    <row r="72" spans="2:8" s="7" customFormat="1" ht="27.95" customHeight="1" thickBot="1" x14ac:dyDescent="0.3">
      <c r="B72" s="100">
        <v>58</v>
      </c>
      <c r="C72" s="101" t="s">
        <v>40</v>
      </c>
      <c r="D72" s="102" t="s">
        <v>18</v>
      </c>
      <c r="E72" s="103" t="s">
        <v>9</v>
      </c>
      <c r="F72" s="104">
        <f>8+52</f>
        <v>60</v>
      </c>
      <c r="G72" s="123" t="s">
        <v>178</v>
      </c>
      <c r="H72" s="93" t="s">
        <v>22</v>
      </c>
    </row>
  </sheetData>
  <protectedRanges>
    <protectedRange sqref="E28" name="Oblast1_3_3_1_3_1"/>
    <protectedRange sqref="D43" name="Oblast1_3_4_5_2_2_1_1_1"/>
    <protectedRange sqref="D44" name="Oblast1_3_4_2_3_2_7_1_1_1"/>
    <protectedRange sqref="E51" name="Oblast1_3_3_1_1_1"/>
  </protectedRanges>
  <mergeCells count="18">
    <mergeCell ref="B6:B8"/>
    <mergeCell ref="B3:C3"/>
    <mergeCell ref="B5:C5"/>
    <mergeCell ref="D2:H2"/>
    <mergeCell ref="G6:G8"/>
    <mergeCell ref="H6:H8"/>
    <mergeCell ref="E6:E8"/>
    <mergeCell ref="D6:D8"/>
    <mergeCell ref="F6:F8"/>
    <mergeCell ref="D3:F3"/>
    <mergeCell ref="D5:F5"/>
    <mergeCell ref="D67:H67"/>
    <mergeCell ref="D9:H9"/>
    <mergeCell ref="C6:C8"/>
    <mergeCell ref="D29:H29"/>
    <mergeCell ref="D37:H37"/>
    <mergeCell ref="D21:H21"/>
    <mergeCell ref="D58:H58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4" fitToHeight="0" orientation="landscape" r:id="rId1"/>
  <ignoredErrors>
    <ignoredError sqref="C68:C72" numberStoredAsText="1"/>
    <ignoredError sqref="F38:F41 F46 F44 F4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List1!Názvy_tisku</vt:lpstr>
      <vt:lpstr>List1!Oblast_tisku</vt:lpstr>
      <vt:lpstr>List1!Print_Titles</vt:lpstr>
    </vt:vector>
  </TitlesOfParts>
  <Company>SG-GEOPROJEKT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Ing. Ondřej Holý</cp:lastModifiedBy>
  <cp:lastPrinted>2022-06-20T22:52:42Z</cp:lastPrinted>
  <dcterms:created xsi:type="dcterms:W3CDTF">2010-01-10T18:54:55Z</dcterms:created>
  <dcterms:modified xsi:type="dcterms:W3CDTF">2022-07-04T08:43:51Z</dcterms:modified>
</cp:coreProperties>
</file>